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jeroe\Downloads\"/>
    </mc:Choice>
  </mc:AlternateContent>
  <xr:revisionPtr revIDLastSave="0" documentId="13_ncr:1_{1D657828-D2D6-4F72-A2D6-3121C0DBF7EF}" xr6:coauthVersionLast="47" xr6:coauthVersionMax="47" xr10:uidLastSave="{00000000-0000-0000-0000-000000000000}"/>
  <bookViews>
    <workbookView xWindow="-120" yWindow="-120" windowWidth="29040" windowHeight="15840" tabRatio="814" activeTab="6" xr2:uid="{00000000-000D-0000-FFFF-FFFF00000000}"/>
  </bookViews>
  <sheets>
    <sheet name="Begroting" sheetId="2" r:id="rId1"/>
    <sheet name="Deelnemersvariabelen" sheetId="8" r:id="rId2"/>
    <sheet name="Post_Bijdrage Deelnemers_v2" sheetId="5" r:id="rId3"/>
    <sheet name="Post_BarOmzet" sheetId="12" r:id="rId4"/>
    <sheet name="Post_Sprekers" sheetId="9" r:id="rId5"/>
    <sheet name="Post_Spijze" sheetId="6" r:id="rId6"/>
    <sheet name="Post_Organisatie"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2" l="1"/>
  <c r="L64" i="2"/>
  <c r="C17" i="10"/>
  <c r="C16" i="10"/>
  <c r="A17" i="10"/>
  <c r="A16" i="10"/>
  <c r="H39" i="5"/>
  <c r="H38" i="5"/>
  <c r="H19" i="5"/>
  <c r="H23" i="5"/>
  <c r="H22" i="5"/>
  <c r="H18" i="5"/>
  <c r="K6" i="8"/>
  <c r="B7" i="9"/>
  <c r="F7" i="9" s="1"/>
  <c r="D3" i="8"/>
  <c r="E3" i="10"/>
  <c r="E4" i="10"/>
  <c r="E5" i="10"/>
  <c r="E6" i="10"/>
  <c r="E7" i="10"/>
  <c r="E8" i="10"/>
  <c r="E9" i="10"/>
  <c r="E10" i="10"/>
  <c r="E11" i="10"/>
  <c r="E12" i="10"/>
  <c r="E13" i="10"/>
  <c r="E14" i="10"/>
  <c r="E15" i="10"/>
  <c r="I56" i="2" l="1"/>
  <c r="J13" i="2"/>
  <c r="I53" i="2"/>
  <c r="L45" i="2"/>
  <c r="F3" i="9"/>
  <c r="L78" i="2"/>
  <c r="I78" i="2"/>
  <c r="L44" i="2"/>
  <c r="L43" i="2"/>
  <c r="L52" i="2"/>
  <c r="L42" i="2"/>
  <c r="B5" i="9" l="1"/>
  <c r="J67" i="2" l="1"/>
  <c r="H14" i="5" s="1"/>
  <c r="E37" i="2"/>
  <c r="C37" i="2"/>
  <c r="D67" i="2"/>
  <c r="F67" i="2"/>
  <c r="H67" i="2"/>
  <c r="I37" i="2"/>
  <c r="H36" i="5" s="1"/>
  <c r="C22" i="6"/>
  <c r="D22" i="6" s="1"/>
  <c r="D23" i="6" s="1"/>
  <c r="B8" i="12"/>
  <c r="E8" i="12"/>
  <c r="E9" i="12"/>
  <c r="E4" i="12"/>
  <c r="C9" i="12"/>
  <c r="C8" i="12"/>
  <c r="B9" i="12"/>
  <c r="C4" i="12"/>
  <c r="B6" i="12"/>
  <c r="C6" i="12" s="1"/>
  <c r="E6" i="12" s="1"/>
  <c r="B7" i="12"/>
  <c r="C7" i="12" s="1"/>
  <c r="E7" i="12" s="1"/>
  <c r="B10" i="12"/>
  <c r="C10" i="12" s="1"/>
  <c r="E10" i="12" s="1"/>
  <c r="B11" i="12"/>
  <c r="C11" i="12" s="1"/>
  <c r="E11" i="12" s="1"/>
  <c r="B12" i="12"/>
  <c r="C12" i="12" s="1"/>
  <c r="E12" i="12" s="1"/>
  <c r="B13" i="12"/>
  <c r="C13" i="12" s="1"/>
  <c r="E13" i="12" s="1"/>
  <c r="B4" i="12"/>
  <c r="J55" i="2"/>
  <c r="B14" i="6"/>
  <c r="D14" i="6" s="1"/>
  <c r="D19" i="6"/>
  <c r="C11" i="6"/>
  <c r="B5" i="12" s="1"/>
  <c r="C5" i="12" s="1"/>
  <c r="E5" i="12" s="1"/>
  <c r="I36" i="2"/>
  <c r="D15" i="6"/>
  <c r="D16" i="6"/>
  <c r="D17" i="6"/>
  <c r="D18" i="6"/>
  <c r="D20" i="6"/>
  <c r="D21" i="6"/>
  <c r="D29" i="6"/>
  <c r="E16" i="10"/>
  <c r="E17" i="10"/>
  <c r="D3" i="10"/>
  <c r="C5" i="9"/>
  <c r="H17" i="5"/>
  <c r="H16" i="5"/>
  <c r="H43" i="5"/>
  <c r="H42" i="5"/>
  <c r="I11" i="2"/>
  <c r="J10" i="2" s="1"/>
  <c r="I39" i="2"/>
  <c r="I8" i="2" s="1"/>
  <c r="D28" i="6"/>
  <c r="D27" i="6"/>
  <c r="D30" i="6" s="1"/>
  <c r="H11" i="5" s="1"/>
  <c r="D12" i="6"/>
  <c r="D13" i="6"/>
  <c r="E18" i="10" l="1"/>
  <c r="I64" i="2" s="1"/>
  <c r="J62" i="2" s="1"/>
  <c r="J35" i="2"/>
  <c r="E14" i="12"/>
  <c r="I19" i="2" s="1"/>
  <c r="J18" i="2" s="1"/>
  <c r="I41" i="5"/>
  <c r="D11" i="6" l="1"/>
  <c r="D10" i="6"/>
  <c r="J21" i="2"/>
  <c r="C4" i="8"/>
  <c r="C5" i="8"/>
  <c r="C6" i="8"/>
  <c r="C7" i="8"/>
  <c r="C8" i="8"/>
  <c r="C9" i="8"/>
  <c r="C10" i="8"/>
  <c r="C11" i="8"/>
  <c r="C12" i="8"/>
  <c r="C13" i="8"/>
  <c r="C14" i="8"/>
  <c r="C15" i="8"/>
  <c r="C16" i="8"/>
  <c r="C17" i="8"/>
  <c r="C3" i="8"/>
  <c r="G3" i="8" s="1"/>
  <c r="D4" i="5" s="1"/>
  <c r="F4" i="9"/>
  <c r="G4" i="9" s="1"/>
  <c r="D4" i="9"/>
  <c r="B6" i="9"/>
  <c r="D6" i="9" s="1"/>
  <c r="C6" i="9" l="1"/>
  <c r="C8" i="9" s="1"/>
  <c r="D7" i="9"/>
  <c r="I49" i="2"/>
  <c r="H12" i="5" s="1"/>
  <c r="B8" i="9"/>
  <c r="F6" i="9"/>
  <c r="D5" i="9"/>
  <c r="F5" i="9"/>
  <c r="A10" i="2"/>
  <c r="A13" i="2" s="1"/>
  <c r="A18" i="2" s="1"/>
  <c r="E6" i="8"/>
  <c r="E7" i="8"/>
  <c r="E8" i="8"/>
  <c r="E9" i="8"/>
  <c r="E10" i="8"/>
  <c r="E11" i="8"/>
  <c r="E12" i="8"/>
  <c r="E13" i="8"/>
  <c r="E14" i="8"/>
  <c r="E16" i="8"/>
  <c r="E17" i="8"/>
  <c r="E15" i="8"/>
  <c r="F5" i="2"/>
  <c r="H5" i="2"/>
  <c r="D5" i="2"/>
  <c r="D8" i="9" l="1"/>
  <c r="E6" i="9"/>
  <c r="E7" i="9"/>
  <c r="I45" i="2" s="1"/>
  <c r="F8" i="9"/>
  <c r="I46" i="2" s="1"/>
  <c r="J77" i="2"/>
  <c r="D12" i="8"/>
  <c r="D15" i="8"/>
  <c r="D8" i="8"/>
  <c r="D11" i="8"/>
  <c r="D13" i="8"/>
  <c r="D14" i="8"/>
  <c r="D16" i="8"/>
  <c r="D17" i="8"/>
  <c r="D7" i="8"/>
  <c r="D5" i="8"/>
  <c r="D4" i="8"/>
  <c r="D6" i="8"/>
  <c r="D9" i="8"/>
  <c r="D10" i="8"/>
  <c r="A21" i="2"/>
  <c r="E5" i="9"/>
  <c r="G5" i="9" s="1"/>
  <c r="F62" i="2"/>
  <c r="H62" i="2"/>
  <c r="H13" i="5"/>
  <c r="D62" i="2"/>
  <c r="I44" i="2" l="1"/>
  <c r="G6" i="9"/>
  <c r="G7" i="9"/>
  <c r="G8" i="9" s="1"/>
  <c r="G15" i="8"/>
  <c r="D49" i="5" s="1"/>
  <c r="F15" i="8"/>
  <c r="F10" i="8"/>
  <c r="G10" i="8"/>
  <c r="D28" i="5" s="1"/>
  <c r="F9" i="8"/>
  <c r="G9" i="8"/>
  <c r="D24" i="5" s="1"/>
  <c r="F6" i="8"/>
  <c r="H27" i="5" s="1"/>
  <c r="B13" i="5" s="1"/>
  <c r="G6" i="8"/>
  <c r="D12" i="5" s="1"/>
  <c r="F17" i="8"/>
  <c r="H32" i="5" s="1"/>
  <c r="B56" i="5" s="1"/>
  <c r="G17" i="8"/>
  <c r="F11" i="8"/>
  <c r="H29" i="5" s="1"/>
  <c r="B30" i="5" s="1"/>
  <c r="G11" i="8"/>
  <c r="D33" i="5" s="1"/>
  <c r="G12" i="8"/>
  <c r="D37" i="5" s="1"/>
  <c r="F12" i="8"/>
  <c r="H30" i="5" s="1"/>
  <c r="B38" i="5" s="1"/>
  <c r="F14" i="8"/>
  <c r="H31" i="5" s="1"/>
  <c r="B46" i="5" s="1"/>
  <c r="G14" i="8"/>
  <c r="D45" i="5" s="1"/>
  <c r="F8" i="8"/>
  <c r="H28" i="5" s="1"/>
  <c r="B21" i="5" s="1"/>
  <c r="G8" i="8"/>
  <c r="D20" i="5" s="1"/>
  <c r="F4" i="8"/>
  <c r="G4" i="8"/>
  <c r="D7" i="5" s="1"/>
  <c r="G5" i="8"/>
  <c r="F5" i="8"/>
  <c r="H26" i="5" s="1"/>
  <c r="G7" i="8"/>
  <c r="D16" i="5" s="1"/>
  <c r="F7" i="8"/>
  <c r="G16" i="8"/>
  <c r="D54" i="5" s="1"/>
  <c r="F16" i="8"/>
  <c r="F3" i="8"/>
  <c r="F13" i="8"/>
  <c r="G13" i="8"/>
  <c r="D41" i="5" s="1"/>
  <c r="A23" i="2"/>
  <c r="A25" i="2" s="1"/>
  <c r="A35" i="2" s="1"/>
  <c r="A41" i="2" s="1"/>
  <c r="A48" i="2" s="1"/>
  <c r="A55" i="2" s="1"/>
  <c r="A62" i="2" s="1"/>
  <c r="A67" i="2" s="1"/>
  <c r="A77" i="2" s="1"/>
  <c r="A81" i="2" s="1"/>
  <c r="A83" i="2" s="1"/>
  <c r="A85" i="2" s="1"/>
  <c r="I43" i="2"/>
  <c r="J41" i="2" s="1"/>
  <c r="H35" i="5" s="1"/>
  <c r="F81" i="2"/>
  <c r="F35" i="2"/>
  <c r="H48" i="2"/>
  <c r="F48" i="2"/>
  <c r="F41" i="2"/>
  <c r="H41" i="2"/>
  <c r="D41" i="2"/>
  <c r="D35" i="2"/>
  <c r="D48" i="2"/>
  <c r="H35" i="2"/>
  <c r="F55" i="2"/>
  <c r="H55" i="2"/>
  <c r="H37" i="5"/>
  <c r="F77" i="2"/>
  <c r="H77" i="2"/>
  <c r="H15" i="5"/>
  <c r="I10" i="5" s="1"/>
  <c r="D77" i="2"/>
  <c r="D55" i="2"/>
  <c r="F18" i="2"/>
  <c r="H18" i="2"/>
  <c r="F13" i="2"/>
  <c r="H13" i="2"/>
  <c r="F10" i="2"/>
  <c r="H10" i="2"/>
  <c r="D18" i="2"/>
  <c r="D13" i="2"/>
  <c r="D10" i="2"/>
  <c r="I34" i="5" l="1"/>
  <c r="C4" i="6"/>
  <c r="D4" i="6" s="1"/>
  <c r="B9" i="5"/>
  <c r="I25" i="5"/>
  <c r="J41" i="5"/>
  <c r="K41" i="5" s="1"/>
  <c r="B51" i="5" s="1"/>
  <c r="J34" i="5"/>
  <c r="C3" i="6"/>
  <c r="D3" i="6" s="1"/>
  <c r="D59" i="5"/>
  <c r="J10" i="5" s="1"/>
  <c r="J21" i="5"/>
  <c r="C5" i="6"/>
  <c r="D5" i="6" s="1"/>
  <c r="I21" i="5"/>
  <c r="D88" i="2"/>
  <c r="H88" i="2"/>
  <c r="F88" i="2"/>
  <c r="H27" i="2"/>
  <c r="F27" i="2"/>
  <c r="D27" i="2"/>
  <c r="E4" i="9"/>
  <c r="K34" i="5" l="1"/>
  <c r="B17" i="5" s="1"/>
  <c r="K10" i="5"/>
  <c r="B5" i="5" s="1"/>
  <c r="C4" i="5" s="1"/>
  <c r="E4" i="5" s="1"/>
  <c r="D6" i="6"/>
  <c r="I52" i="2" s="1"/>
  <c r="J48" i="2" s="1"/>
  <c r="K21" i="5"/>
  <c r="B55" i="5" s="1"/>
  <c r="I42" i="2"/>
  <c r="E8" i="9"/>
  <c r="B29" i="5" l="1"/>
  <c r="B8" i="5"/>
  <c r="B43" i="5"/>
  <c r="B35" i="5"/>
  <c r="B18" i="5"/>
  <c r="C16" i="5" s="1"/>
  <c r="B47" i="5"/>
  <c r="C45" i="5" s="1"/>
  <c r="E45" i="5" s="1"/>
  <c r="B39" i="5"/>
  <c r="C37" i="5" s="1"/>
  <c r="E37" i="5" s="1"/>
  <c r="B52" i="5"/>
  <c r="B22" i="5"/>
  <c r="C20" i="5" s="1"/>
  <c r="E20" i="5" s="1"/>
  <c r="B31" i="5"/>
  <c r="B57" i="5"/>
  <c r="C54" i="5" s="1"/>
  <c r="E54" i="5" s="1"/>
  <c r="B26" i="5"/>
  <c r="B10" i="5"/>
  <c r="B14" i="5"/>
  <c r="C12" i="5" s="1"/>
  <c r="E12" i="5" s="1"/>
  <c r="J88" i="2"/>
  <c r="K53" i="2" s="1"/>
  <c r="C7" i="5" l="1"/>
  <c r="E7" i="5" s="1"/>
  <c r="C28" i="5"/>
  <c r="E28" i="5" s="1"/>
  <c r="K85" i="2"/>
  <c r="K75" i="2"/>
  <c r="K41" i="2"/>
  <c r="K60" i="2"/>
  <c r="K70" i="2"/>
  <c r="K52" i="2"/>
  <c r="K81" i="2"/>
  <c r="K77" i="2"/>
  <c r="K35" i="2"/>
  <c r="K44" i="2"/>
  <c r="K64" i="2"/>
  <c r="K59" i="2"/>
  <c r="K39" i="2"/>
  <c r="K67" i="2"/>
  <c r="K72" i="2"/>
  <c r="K73" i="2"/>
  <c r="K83" i="2"/>
  <c r="K71" i="2"/>
  <c r="K74" i="2"/>
  <c r="K51" i="2"/>
  <c r="K36" i="2"/>
  <c r="K55" i="2"/>
  <c r="K49" i="2"/>
  <c r="K45" i="2"/>
  <c r="K58" i="2"/>
  <c r="K62" i="2"/>
  <c r="K78" i="2"/>
  <c r="K46" i="2"/>
  <c r="K43" i="2"/>
  <c r="K65" i="2"/>
  <c r="K69" i="2"/>
  <c r="K57" i="2"/>
  <c r="K79" i="2"/>
  <c r="K63" i="2"/>
  <c r="K56" i="2"/>
  <c r="K38" i="2"/>
  <c r="K68" i="2"/>
  <c r="K50" i="2"/>
  <c r="K48" i="2"/>
  <c r="K37" i="2"/>
  <c r="K42" i="2"/>
  <c r="K88" i="2" l="1"/>
  <c r="E16" i="5"/>
  <c r="B50" i="5"/>
  <c r="C49" i="5" s="1"/>
  <c r="E49" i="5" s="1"/>
  <c r="B42" i="5"/>
  <c r="C41" i="5" s="1"/>
  <c r="E41" i="5" s="1"/>
  <c r="B25" i="5"/>
  <c r="C24" i="5" s="1"/>
  <c r="E24" i="5" s="1"/>
  <c r="B34" i="5"/>
  <c r="C33" i="5" s="1"/>
  <c r="E33" i="5" s="1"/>
  <c r="E59" i="5" l="1"/>
  <c r="H3" i="5"/>
  <c r="L6" i="2" s="1"/>
  <c r="H5" i="5"/>
  <c r="H4" i="5"/>
  <c r="C59" i="5"/>
  <c r="I6" i="2" s="1"/>
  <c r="J5" i="2" s="1"/>
  <c r="J27" i="2" l="1"/>
  <c r="K16" i="2" s="1"/>
  <c r="K23" i="2" l="1"/>
  <c r="K21" i="2"/>
  <c r="K18" i="2"/>
  <c r="K13" i="2"/>
  <c r="K11" i="2"/>
  <c r="K25" i="2"/>
  <c r="K19" i="2"/>
  <c r="K7" i="2"/>
  <c r="K8" i="2"/>
  <c r="K14" i="2"/>
  <c r="K10" i="2"/>
  <c r="K15" i="2"/>
  <c r="K6" i="2"/>
  <c r="K5" i="2"/>
  <c r="K27" i="2" l="1"/>
</calcChain>
</file>

<file path=xl/sharedStrings.xml><?xml version="1.0" encoding="utf-8"?>
<sst xmlns="http://schemas.openxmlformats.org/spreadsheetml/2006/main" count="421" uniqueCount="251">
  <si>
    <t>BATEN</t>
  </si>
  <si>
    <t>Begroting 2024</t>
  </si>
  <si>
    <t>Resultaat 2024</t>
  </si>
  <si>
    <t>Begroting 2025</t>
  </si>
  <si>
    <t>Begroting 2026</t>
  </si>
  <si>
    <t>Post</t>
  </si>
  <si>
    <t>Omschrijving</t>
  </si>
  <si>
    <t>Bedrag</t>
  </si>
  <si>
    <t>Subtotaal</t>
  </si>
  <si>
    <t>%</t>
  </si>
  <si>
    <t>Opmerking</t>
  </si>
  <si>
    <t>Bijdrage Deelnemers</t>
  </si>
  <si>
    <t>a</t>
  </si>
  <si>
    <t>Directe deelnemersinkomsten</t>
  </si>
  <si>
    <t>b</t>
  </si>
  <si>
    <t>Indirecte deelnemersinkomsten</t>
  </si>
  <si>
    <t>c</t>
  </si>
  <si>
    <t>Lakenpakketen</t>
  </si>
  <si>
    <t>Bijdrage verenigingen</t>
  </si>
  <si>
    <t>Hoofdelijke omslag VGS-Nederland</t>
  </si>
  <si>
    <t>Begroot op 700 leden in VGS-Nederland en een PaCo-tientje van €7,-</t>
  </si>
  <si>
    <t>Acquisitie</t>
  </si>
  <si>
    <t>$pon$ering</t>
  </si>
  <si>
    <t>vgst.nl/bol</t>
  </si>
  <si>
    <t>Fondsen</t>
  </si>
  <si>
    <t>Amice Middag</t>
  </si>
  <si>
    <t>Omzet bar</t>
  </si>
  <si>
    <t>Wij verwachten alles wat we inkopen te verkopen.</t>
  </si>
  <si>
    <t>Borg</t>
  </si>
  <si>
    <t>Verwachten we gewoon terug te krijgen.</t>
  </si>
  <si>
    <t>VGST Korting</t>
  </si>
  <si>
    <t>Dit is een post indien de VGST te veel gekochte drank moet overnemen. Vanzelfsprekend verwachten dat niet, maar wij zijn feilbaar in onze inschattingen. Indien u dus niet had genoeg borrelt kan de VGST tegen inkoopprijs de volle flessen bier, wijn, Bacardi, fris en radler overnemen.</t>
  </si>
  <si>
    <t>Onvoorziene Baten</t>
  </si>
  <si>
    <t>Totaal</t>
  </si>
  <si>
    <t>LASTEN</t>
  </si>
  <si>
    <t>Locatie</t>
  </si>
  <si>
    <t>Huur accommodatie</t>
  </si>
  <si>
    <t>Uit de offerte.</t>
  </si>
  <si>
    <t>Huur apparaten e.d.</t>
  </si>
  <si>
    <t>d</t>
  </si>
  <si>
    <t>€12,50 per lakenpakket voor 90 lakenpakketen.</t>
  </si>
  <si>
    <t>Sprekers</t>
  </si>
  <si>
    <t>Congresveurzitter</t>
  </si>
  <si>
    <t>Workshopleiders</t>
  </si>
  <si>
    <t>Dominee</t>
  </si>
  <si>
    <t>e</t>
  </si>
  <si>
    <t>Reiskosten</t>
  </si>
  <si>
    <t>Spijzen en Dranken</t>
  </si>
  <si>
    <t>Bar</t>
  </si>
  <si>
    <t>Er zal hier bier, speciaalbier, radler, wijn, fris, Bacardi, overige sterke drank, hamburgers, chips en warme borrelhapjes worden ingekocht. Bij de bar zal bier, speciaalbier, radler, wijn, fris, hamburgers en BaCo's worden verkocht. De snacks en warme borrelhapjes zullen worden uitgedeeld.</t>
  </si>
  <si>
    <t>Niet-bar</t>
  </si>
  <si>
    <t>Valt onder maaltijden (10d)  en overige kosten (10e).</t>
  </si>
  <si>
    <t>Catering Beusink</t>
  </si>
  <si>
    <t>Valt onder maaltijden (10d).</t>
  </si>
  <si>
    <t>Maaltijden</t>
  </si>
  <si>
    <t>Overig</t>
  </si>
  <si>
    <t>Koffie en thee etc.</t>
  </si>
  <si>
    <t>Drukkerij</t>
  </si>
  <si>
    <t>Bundel</t>
  </si>
  <si>
    <t>Wordt gedrukt bij Xerox, uitgegaan van €1,- per bundel voor 220 bundels. Prijs is afgeleid van de drukkosten van een Kleintje VGST.</t>
  </si>
  <si>
    <t>Programmaboek</t>
  </si>
  <si>
    <t>Dit doen we aan de hand van posters overal neerkwakken.</t>
  </si>
  <si>
    <t>Badges</t>
  </si>
  <si>
    <t>Badges doen we niet. U vraagt uw amicae amicique maar naar hun naam.</t>
  </si>
  <si>
    <t>Promotiemateriaal</t>
  </si>
  <si>
    <t>Stickers, flyers etc.</t>
  </si>
  <si>
    <t>Banner</t>
  </si>
  <si>
    <t>Banner dient als promotie, deze wordt ook gebruikt voor $pon$oring; er kunnen advertenties geplaatst worden op de banner.</t>
  </si>
  <si>
    <t>Organisatie</t>
  </si>
  <si>
    <t>Kleding</t>
  </si>
  <si>
    <t>Kopieerkosten</t>
  </si>
  <si>
    <t>Website</t>
  </si>
  <si>
    <t>Onderhouden/hosten van de PaCo-website. Uit factuur van Antagonist met dank aan amice Van Wolfswinkel.</t>
  </si>
  <si>
    <t>Muziek</t>
  </si>
  <si>
    <t>Huur aanhangwagen</t>
  </si>
  <si>
    <t>Aanhanger voor woensdag t/m zaterdag van PaCo bij Boedelbak.</t>
  </si>
  <si>
    <t>Applicatie</t>
  </si>
  <si>
    <t>Doen we op de ouderwetste manier.</t>
  </si>
  <si>
    <t>Decoratie</t>
  </si>
  <si>
    <t>Wij zijn saai en volgens amica Van der Veen doen wij niet aan verspillen aan dit soort onzin.</t>
  </si>
  <si>
    <t>f</t>
  </si>
  <si>
    <t>Afschrijving plasticbekers</t>
  </si>
  <si>
    <t>Het is afschrijven of afgeschreven worden.</t>
  </si>
  <si>
    <t>h</t>
  </si>
  <si>
    <t>Bankkosten</t>
  </si>
  <si>
    <t>i</t>
  </si>
  <si>
    <t>Overige huur apparaten</t>
  </si>
  <si>
    <t>Dankbetuigingen</t>
  </si>
  <si>
    <t>a.</t>
  </si>
  <si>
    <t>Commissiebedankjes</t>
  </si>
  <si>
    <t>b.</t>
  </si>
  <si>
    <t>Overige bedankjes</t>
  </si>
  <si>
    <t>Zondetaks</t>
  </si>
  <si>
    <t>Door de zondeval zijn wij mensen feilbaar geworden voor fouten. In de zonde die Adam beging zijn we allemaal hoogmoedige en ellendige goden geworden. Hoewel wij alles willen overzien, kunnen wij dat helaas niet. Achter deze belijdenis van mijn zonde sta ik van ganzer harte. Deze menselijke natuur maakt dat wij kosten gaan maken die wij niet kunnen voorzien; wij zijn immers God niet. Als ik wist wat ik niet kon voorzien had ik het wel voorzien: in mijn sterkste voorzieningen ben ik het meest zwak!</t>
  </si>
  <si>
    <t>Reservering</t>
  </si>
  <si>
    <t>Aflossen lening</t>
  </si>
  <si>
    <t>Afrondverschil</t>
  </si>
  <si>
    <t>AANWEZIGENLIJST</t>
  </si>
  <si>
    <t>VARIABELEN</t>
  </si>
  <si>
    <t>Hoeveelheid aanwezigen</t>
  </si>
  <si>
    <t>Commissieleden</t>
  </si>
  <si>
    <t>Senatoren</t>
  </si>
  <si>
    <t>Betalend</t>
  </si>
  <si>
    <t>Opmerkingen</t>
  </si>
  <si>
    <t>Groepering</t>
  </si>
  <si>
    <t>Prominentie</t>
  </si>
  <si>
    <t>Woensdag/CV</t>
  </si>
  <si>
    <t>Overnachting woensdag-donderdag</t>
  </si>
  <si>
    <t>Deelnemers</t>
  </si>
  <si>
    <t>Donderdagochtend</t>
  </si>
  <si>
    <t>Comissieleden</t>
  </si>
  <si>
    <t>Lunch donderdag</t>
  </si>
  <si>
    <t>Zijn er woensdag.</t>
  </si>
  <si>
    <t>Donderdagmiddag</t>
  </si>
  <si>
    <t>PaCo-gangers</t>
  </si>
  <si>
    <t>Dit zijn de echte PaCo-gangers die het hele congres komen.</t>
  </si>
  <si>
    <t>Avondmaaltijd donderdag</t>
  </si>
  <si>
    <t>Feestgangers</t>
  </si>
  <si>
    <t>Deze zijn er vanaf vrijdagavond.</t>
  </si>
  <si>
    <t>Donderdagavond</t>
  </si>
  <si>
    <t>Lakenpakketten</t>
  </si>
  <si>
    <t>Overnachting donderdag-vrijdag</t>
  </si>
  <si>
    <t>Vrijdagochtend</t>
  </si>
  <si>
    <t>Gasten</t>
  </si>
  <si>
    <t>Lunch vrijdag</t>
  </si>
  <si>
    <t>Vrijdagmiddag</t>
  </si>
  <si>
    <t>Avondmaaltijd vrijdag</t>
  </si>
  <si>
    <t>Voor de overdenking</t>
  </si>
  <si>
    <t>Vrijdagavond</t>
  </si>
  <si>
    <t>Overnachting vrijdag-zaterdag</t>
  </si>
  <si>
    <t>Vrijwilligers</t>
  </si>
  <si>
    <t>Zaterdag</t>
  </si>
  <si>
    <t>Band</t>
  </si>
  <si>
    <t>BIJDRAGE DEELNEMERS</t>
  </si>
  <si>
    <t>SAMENVATTING</t>
  </si>
  <si>
    <t>Dagdeel/activiteit</t>
  </si>
  <si>
    <t>Prijs p.p.</t>
  </si>
  <si>
    <t>Soort kaartje</t>
  </si>
  <si>
    <t>Prijskaartje</t>
  </si>
  <si>
    <t>Argeloze PaCo-ganger</t>
  </si>
  <si>
    <t>Senator met saaf</t>
  </si>
  <si>
    <t>Algemene kosten</t>
  </si>
  <si>
    <t>Dwaze feestganger</t>
  </si>
  <si>
    <t>KOSTENOVERZICHT</t>
  </si>
  <si>
    <t>Overnachtingskosten</t>
  </si>
  <si>
    <t>Activiteit</t>
  </si>
  <si>
    <t>Aantal</t>
  </si>
  <si>
    <t>Prijs</t>
  </si>
  <si>
    <t>Ontbijt donderdag</t>
  </si>
  <si>
    <t>Overige spijskosten</t>
  </si>
  <si>
    <t>Barverlies</t>
  </si>
  <si>
    <t>Lunch</t>
  </si>
  <si>
    <t>Overige overige kosten</t>
  </si>
  <si>
    <t>Lezing</t>
  </si>
  <si>
    <t>Overnachting</t>
  </si>
  <si>
    <t>Maaltijd</t>
  </si>
  <si>
    <t>VGS-Nederland</t>
  </si>
  <si>
    <t>Donderdag ontbijt</t>
  </si>
  <si>
    <t>Donderdag lunch</t>
  </si>
  <si>
    <t>Donderdag maaltijd</t>
  </si>
  <si>
    <t>Vrijdag ontbijt</t>
  </si>
  <si>
    <t>Vrijdag lunch</t>
  </si>
  <si>
    <t>Vrijdag maaltijd</t>
  </si>
  <si>
    <t>Ontbijt vrijdag</t>
  </si>
  <si>
    <t>Zaterdag ontbijt</t>
  </si>
  <si>
    <t>Intellectuele activiteit</t>
  </si>
  <si>
    <t>Apparatuur</t>
  </si>
  <si>
    <t>$pon$oring</t>
  </si>
  <si>
    <t>Feest</t>
  </si>
  <si>
    <t>Afschrijving plastic bekers</t>
  </si>
  <si>
    <t>Workshops</t>
  </si>
  <si>
    <t>Ontbijt zaterdag</t>
  </si>
  <si>
    <t>BAROMZET</t>
  </si>
  <si>
    <t>Muntprijs</t>
  </si>
  <si>
    <t>Product</t>
  </si>
  <si>
    <t>Aantal ingekocht voor verkoop</t>
  </si>
  <si>
    <t>Aantal glazen</t>
  </si>
  <si>
    <t>Aantal muntjes</t>
  </si>
  <si>
    <t>Bier (kist</t>
  </si>
  <si>
    <t>Speciaalbier (sixpack)</t>
  </si>
  <si>
    <t>Wijn</t>
  </si>
  <si>
    <t>Bacardi (1 L)</t>
  </si>
  <si>
    <t>Radler 0.0 (kist)</t>
  </si>
  <si>
    <t>Cola (1,5l)</t>
  </si>
  <si>
    <t>20 flessen cola worden gebruikt voor de PaCo-BaCo</t>
  </si>
  <si>
    <t>Sinas (1,5l)</t>
  </si>
  <si>
    <t>Ice Tea (1,5l)</t>
  </si>
  <si>
    <t>Dubbelfris</t>
  </si>
  <si>
    <t>Broodje Hamburger</t>
  </si>
  <si>
    <t>SPREKERS</t>
  </si>
  <si>
    <t>Type</t>
  </si>
  <si>
    <t>Kosten</t>
  </si>
  <si>
    <t>Prijs Bedankje</t>
  </si>
  <si>
    <t>Prijs per stuk</t>
  </si>
  <si>
    <t>Congresvoorzitter</t>
  </si>
  <si>
    <t>Spreker</t>
  </si>
  <si>
    <t>Workshopleider</t>
  </si>
  <si>
    <t>MAALTIJDEN</t>
  </si>
  <si>
    <t>Geschatte kosten p.p.</t>
  </si>
  <si>
    <t>Ontbijt</t>
  </si>
  <si>
    <t>Schatting, totaal van donderdag, vrijdag en zaterdag.</t>
  </si>
  <si>
    <t>Schatting, totaal van donderdag en vrijdag.</t>
  </si>
  <si>
    <t>Avondeten donderdag en vrijdag.</t>
  </si>
  <si>
    <t xml:space="preserve">Prijs op basis van maaltijden van Hofzicht, recreatielocatie van Beusink. </t>
  </si>
  <si>
    <t>BAR</t>
  </si>
  <si>
    <t>Artikel</t>
  </si>
  <si>
    <t>Pils (kist)</t>
  </si>
  <si>
    <t>Dit wordt gehaald bij Ter Huurne Hollandmarkt waar u bier kan krijgen voor goedkopere prijs.</t>
  </si>
  <si>
    <t>200 BaCo's</t>
  </si>
  <si>
    <t>Dit wordt gehaald bij Ter Huurne Hollandmarkt waar u radler kan krijgen voor goedkopere prijs.</t>
  </si>
  <si>
    <t>Warme snacks (96 stks.)</t>
  </si>
  <si>
    <t>Koude borrelsnacks per zak</t>
  </si>
  <si>
    <t>Overige sterke drank</t>
  </si>
  <si>
    <t>OVERIG</t>
  </si>
  <si>
    <t>Koffie</t>
  </si>
  <si>
    <t>Thee</t>
  </si>
  <si>
    <t>Koekjes</t>
  </si>
  <si>
    <t>REISKOSTEN</t>
  </si>
  <si>
    <t>Bestemming</t>
  </si>
  <si>
    <t>Vervoersmiddel</t>
  </si>
  <si>
    <t>Afstand</t>
  </si>
  <si>
    <t>Treinkaartje</t>
  </si>
  <si>
    <t>Variabele</t>
  </si>
  <si>
    <t>VGSR</t>
  </si>
  <si>
    <t>Trein</t>
  </si>
  <si>
    <t>Kilometervergoeding</t>
  </si>
  <si>
    <t>VGSD</t>
  </si>
  <si>
    <t>VGSW</t>
  </si>
  <si>
    <t>GSVG</t>
  </si>
  <si>
    <t>VGSL</t>
  </si>
  <si>
    <t>VGSU</t>
  </si>
  <si>
    <t>VGSN-TQ</t>
  </si>
  <si>
    <t>Absens Carens</t>
  </si>
  <si>
    <t>Pro Deo</t>
  </si>
  <si>
    <t>It Bernlef Ielde</t>
  </si>
  <si>
    <t>Betula Pubescens</t>
  </si>
  <si>
    <t>Vis Vitalis</t>
  </si>
  <si>
    <t>Via Fidei?</t>
  </si>
  <si>
    <t>n.v.t.</t>
  </si>
  <si>
    <t>Auto</t>
  </si>
  <si>
    <t>Huren we bij de VGSN-TQ, het bedrag is toegezegd door amice Van der Mark.</t>
  </si>
  <si>
    <t>2 Korinthe 12:15</t>
  </si>
  <si>
    <t>DJ is dezelfde die de VGST altijd huurt voor haar Dies Natalis. Dit valt duur uit omdat hij zijn eigen apparatuur mee moet nemen.</t>
  </si>
  <si>
    <t>Reiskosten voor de congresveurzitter, alle sprekers, workshopleiders zijn begroot op een kilometervergoeding van een retourtje TUU - Beusink. Reiskosten voor de dominee's zijn de helft daarvan, die verwachten we van dichterbij te halen. Dit is voor 75% begroot want niet alle sprekers declareren.</t>
  </si>
  <si>
    <t>We verwachten onverwachts nog enkele dingen te printen of overige kantoorartikelen te moeten gebruiken.</t>
  </si>
  <si>
    <t>Locatie overdag</t>
  </si>
  <si>
    <t>Retourtjes Beusink</t>
  </si>
  <si>
    <t>Retourtjes Ter Huurne</t>
  </si>
  <si>
    <t xml:space="preserve">Uit de offerte. Dit is enkel een beamer en flipover. </t>
  </si>
  <si>
    <t>Bedankjes voor de bandleden van €2,- per persoon.</t>
  </si>
  <si>
    <t>Dit neemt DB op zich volgens de penningmeester van VGS-Nederland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</si>
</sst>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1"/>
      <color theme="0"/>
      <name val="Aptos Narrow"/>
      <family val="2"/>
      <scheme val="minor"/>
    </font>
    <font>
      <sz val="8"/>
      <name val="Aptos Narrow"/>
      <family val="2"/>
      <scheme val="minor"/>
    </font>
    <font>
      <b/>
      <sz val="9"/>
      <color theme="0"/>
      <name val="Aptos Narrow"/>
      <family val="2"/>
      <scheme val="minor"/>
    </font>
    <font>
      <sz val="9"/>
      <color theme="1"/>
      <name val="Aptos Narrow"/>
      <family val="2"/>
      <scheme val="minor"/>
    </font>
    <font>
      <b/>
      <sz val="9"/>
      <color theme="1"/>
      <name val="Aptos Narrow"/>
      <family val="2"/>
      <scheme val="minor"/>
    </font>
    <font>
      <i/>
      <sz val="9"/>
      <color theme="1"/>
      <name val="Aptos Narrow"/>
      <family val="2"/>
      <scheme val="minor"/>
    </font>
    <font>
      <b/>
      <i/>
      <sz val="9"/>
      <color theme="1"/>
      <name val="Aptos Narrow"/>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rgb="FF99000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1" tint="0.34998626667073579"/>
        <bgColor indexed="64"/>
      </patternFill>
    </fill>
    <fill>
      <patternFill patternType="solid">
        <fgColor rgb="FFCC9900"/>
        <bgColor indexed="64"/>
      </patternFill>
    </fill>
    <fill>
      <patternFill patternType="solid">
        <fgColor theme="9" tint="-0.249977111117893"/>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3" borderId="0" xfId="0" applyFill="1"/>
    <xf numFmtId="0" fontId="0" fillId="0" borderId="4" xfId="0" applyBorder="1"/>
    <xf numFmtId="44" fontId="0" fillId="0" borderId="0" xfId="0" applyNumberFormat="1"/>
    <xf numFmtId="0" fontId="0" fillId="0" borderId="5" xfId="0" applyBorder="1"/>
    <xf numFmtId="44" fontId="0" fillId="3" borderId="0" xfId="0" applyNumberFormat="1" applyFill="1"/>
    <xf numFmtId="0" fontId="0" fillId="3" borderId="4" xfId="0" applyFill="1" applyBorder="1"/>
    <xf numFmtId="0" fontId="0" fillId="0" borderId="5" xfId="0" applyBorder="1" applyAlignment="1">
      <alignment wrapText="1"/>
    </xf>
    <xf numFmtId="0" fontId="0" fillId="3" borderId="5" xfId="0" applyFill="1" applyBorder="1" applyAlignment="1">
      <alignment wrapText="1"/>
    </xf>
    <xf numFmtId="0" fontId="0" fillId="0" borderId="6" xfId="0" applyBorder="1"/>
    <xf numFmtId="44" fontId="0" fillId="0" borderId="5" xfId="0" applyNumberFormat="1" applyBorder="1"/>
    <xf numFmtId="0" fontId="0" fillId="0" borderId="1" xfId="0" applyBorder="1"/>
    <xf numFmtId="0" fontId="0" fillId="0" borderId="3" xfId="0" applyBorder="1"/>
    <xf numFmtId="44" fontId="0" fillId="0" borderId="8" xfId="0" applyNumberFormat="1" applyBorder="1"/>
    <xf numFmtId="44" fontId="0" fillId="3" borderId="5" xfId="0" applyNumberFormat="1" applyFill="1" applyBorder="1"/>
    <xf numFmtId="0" fontId="2" fillId="3" borderId="5" xfId="0" applyFont="1" applyFill="1" applyBorder="1"/>
    <xf numFmtId="0" fontId="2" fillId="0" borderId="0" xfId="0" applyFont="1"/>
    <xf numFmtId="0" fontId="0" fillId="0" borderId="0" xfId="0" applyAlignment="1">
      <alignment wrapText="1"/>
    </xf>
    <xf numFmtId="0" fontId="2" fillId="5" borderId="4" xfId="0" applyFont="1" applyFill="1" applyBorder="1"/>
    <xf numFmtId="44" fontId="1" fillId="5" borderId="8" xfId="0" applyNumberFormat="1" applyFont="1" applyFill="1" applyBorder="1"/>
    <xf numFmtId="44" fontId="0" fillId="0" borderId="2" xfId="0" applyNumberFormat="1" applyBorder="1"/>
    <xf numFmtId="0" fontId="0" fillId="0" borderId="2" xfId="0" applyBorder="1"/>
    <xf numFmtId="44" fontId="0" fillId="0" borderId="3" xfId="0" applyNumberFormat="1" applyBorder="1"/>
    <xf numFmtId="44" fontId="0" fillId="0" borderId="7" xfId="0" applyNumberFormat="1" applyBorder="1"/>
    <xf numFmtId="0" fontId="0" fillId="0" borderId="7" xfId="0" applyBorder="1"/>
    <xf numFmtId="0" fontId="1" fillId="5" borderId="6" xfId="0" applyFont="1" applyFill="1" applyBorder="1"/>
    <xf numFmtId="0" fontId="1" fillId="5" borderId="7" xfId="0" applyFont="1" applyFill="1" applyBorder="1"/>
    <xf numFmtId="44" fontId="1" fillId="5" borderId="7" xfId="0" applyNumberFormat="1" applyFont="1" applyFill="1" applyBorder="1"/>
    <xf numFmtId="44" fontId="1" fillId="0" borderId="2" xfId="0" applyNumberFormat="1" applyFont="1" applyBorder="1"/>
    <xf numFmtId="44" fontId="1" fillId="0" borderId="7" xfId="0" applyNumberFormat="1" applyFont="1" applyBorder="1"/>
    <xf numFmtId="0" fontId="2" fillId="0" borderId="4" xfId="0" applyFont="1" applyBorder="1"/>
    <xf numFmtId="0" fontId="0" fillId="0" borderId="0" xfId="0" applyAlignment="1">
      <alignment vertical="center"/>
    </xf>
    <xf numFmtId="44" fontId="0" fillId="0" borderId="0" xfId="0" applyNumberFormat="1" applyAlignment="1">
      <alignment vertical="center"/>
    </xf>
    <xf numFmtId="0" fontId="0" fillId="0" borderId="5" xfId="0" applyBorder="1" applyAlignment="1">
      <alignment vertical="center" wrapText="1"/>
    </xf>
    <xf numFmtId="0" fontId="2" fillId="3" borderId="4" xfId="0" applyFont="1" applyFill="1" applyBorder="1" applyAlignment="1">
      <alignment vertical="center"/>
    </xf>
    <xf numFmtId="0" fontId="2" fillId="3" borderId="0" xfId="0" applyFont="1" applyFill="1" applyAlignment="1">
      <alignment vertical="center"/>
    </xf>
    <xf numFmtId="0" fontId="0" fillId="0" borderId="4" xfId="0"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44" fontId="1" fillId="3" borderId="7" xfId="0" applyNumberFormat="1" applyFont="1" applyFill="1" applyBorder="1" applyAlignment="1">
      <alignment vertical="center"/>
    </xf>
    <xf numFmtId="0" fontId="1" fillId="3" borderId="8" xfId="0" applyFont="1" applyFill="1" applyBorder="1" applyAlignment="1">
      <alignment vertical="center" wrapText="1"/>
    </xf>
    <xf numFmtId="0" fontId="0" fillId="0" borderId="1" xfId="0" applyBorder="1" applyAlignment="1">
      <alignment vertical="center"/>
    </xf>
    <xf numFmtId="44" fontId="0" fillId="0" borderId="2" xfId="0" applyNumberFormat="1" applyBorder="1" applyAlignment="1">
      <alignment vertical="center"/>
    </xf>
    <xf numFmtId="0" fontId="0" fillId="0" borderId="2" xfId="0" applyBorder="1" applyAlignment="1">
      <alignment vertical="center"/>
    </xf>
    <xf numFmtId="0" fontId="0" fillId="0" borderId="3" xfId="0" applyBorder="1" applyAlignment="1">
      <alignment vertical="center" wrapText="1"/>
    </xf>
    <xf numFmtId="44" fontId="2" fillId="3" borderId="0" xfId="0" applyNumberFormat="1" applyFont="1" applyFill="1" applyAlignment="1">
      <alignment vertical="center"/>
    </xf>
    <xf numFmtId="0" fontId="2" fillId="3" borderId="5" xfId="0" applyFont="1" applyFill="1" applyBorder="1" applyAlignment="1">
      <alignment vertical="center" wrapText="1"/>
    </xf>
    <xf numFmtId="0" fontId="2" fillId="3" borderId="4" xfId="0" applyFont="1" applyFill="1" applyBorder="1"/>
    <xf numFmtId="44" fontId="2" fillId="3" borderId="0" xfId="0" applyNumberFormat="1" applyFont="1" applyFill="1"/>
    <xf numFmtId="0" fontId="2" fillId="3" borderId="0" xfId="0" applyFont="1" applyFill="1"/>
    <xf numFmtId="0" fontId="2" fillId="3" borderId="5" xfId="0" applyFont="1" applyFill="1" applyBorder="1" applyAlignment="1">
      <alignment wrapText="1"/>
    </xf>
    <xf numFmtId="0" fontId="1" fillId="3" borderId="6" xfId="0" applyFont="1" applyFill="1" applyBorder="1"/>
    <xf numFmtId="44" fontId="1" fillId="3" borderId="7" xfId="0" applyNumberFormat="1" applyFont="1" applyFill="1" applyBorder="1"/>
    <xf numFmtId="0" fontId="1" fillId="3" borderId="7" xfId="0" applyFont="1" applyFill="1" applyBorder="1"/>
    <xf numFmtId="0" fontId="1" fillId="3" borderId="8" xfId="0" applyFont="1" applyFill="1" applyBorder="1" applyAlignment="1">
      <alignment wrapText="1"/>
    </xf>
    <xf numFmtId="0" fontId="0" fillId="0" borderId="3" xfId="0" applyBorder="1" applyAlignment="1">
      <alignment wrapText="1"/>
    </xf>
    <xf numFmtId="0" fontId="0" fillId="0" borderId="8" xfId="0" applyBorder="1" applyAlignment="1">
      <alignment wrapText="1"/>
    </xf>
    <xf numFmtId="44" fontId="2" fillId="3" borderId="5" xfId="0" applyNumberFormat="1" applyFont="1" applyFill="1" applyBorder="1"/>
    <xf numFmtId="44" fontId="1" fillId="3" borderId="8" xfId="0" applyNumberFormat="1" applyFont="1" applyFill="1" applyBorder="1"/>
    <xf numFmtId="0" fontId="0" fillId="0" borderId="8" xfId="0" applyBorder="1"/>
    <xf numFmtId="0" fontId="2" fillId="5" borderId="6" xfId="0" applyFont="1" applyFill="1" applyBorder="1"/>
    <xf numFmtId="0" fontId="2" fillId="5" borderId="7" xfId="0" applyFont="1" applyFill="1" applyBorder="1"/>
    <xf numFmtId="0" fontId="2" fillId="5" borderId="8" xfId="0" applyFont="1" applyFill="1" applyBorder="1"/>
    <xf numFmtId="44" fontId="2" fillId="3" borderId="4" xfId="0" applyNumberFormat="1" applyFont="1" applyFill="1" applyBorder="1"/>
    <xf numFmtId="0" fontId="7" fillId="0" borderId="4" xfId="0" applyFont="1" applyBorder="1" applyAlignment="1">
      <alignment horizontal="right" vertical="center" wrapText="1"/>
    </xf>
    <xf numFmtId="0" fontId="7" fillId="0" borderId="0" xfId="0" applyFont="1" applyAlignment="1">
      <alignment vertical="center" wrapText="1"/>
    </xf>
    <xf numFmtId="44" fontId="7" fillId="0" borderId="0" xfId="0" applyNumberFormat="1" applyFont="1" applyAlignment="1">
      <alignment vertical="center" wrapText="1"/>
    </xf>
    <xf numFmtId="10" fontId="7" fillId="0" borderId="0" xfId="0" applyNumberFormat="1" applyFont="1" applyAlignment="1">
      <alignment vertical="center" wrapText="1"/>
    </xf>
    <xf numFmtId="0" fontId="7" fillId="0" borderId="5" xfId="0" applyFont="1" applyBorder="1" applyAlignment="1">
      <alignment vertical="center" wrapText="1"/>
    </xf>
    <xf numFmtId="0" fontId="7" fillId="3" borderId="4" xfId="0" applyFont="1" applyFill="1" applyBorder="1" applyAlignment="1">
      <alignment horizontal="left" vertical="center" wrapText="1"/>
    </xf>
    <xf numFmtId="0" fontId="7" fillId="3" borderId="0" xfId="0" applyFont="1" applyFill="1" applyAlignment="1">
      <alignment vertical="center" wrapText="1"/>
    </xf>
    <xf numFmtId="44" fontId="7" fillId="3" borderId="0" xfId="0" applyNumberFormat="1" applyFont="1" applyFill="1" applyAlignment="1">
      <alignment vertical="center" wrapText="1"/>
    </xf>
    <xf numFmtId="10" fontId="7" fillId="3" borderId="0" xfId="0" applyNumberFormat="1" applyFont="1" applyFill="1" applyAlignment="1">
      <alignment vertical="center" wrapText="1"/>
    </xf>
    <xf numFmtId="0" fontId="7" fillId="3" borderId="5" xfId="0" applyFont="1" applyFill="1" applyBorder="1" applyAlignment="1">
      <alignment vertical="center" wrapText="1"/>
    </xf>
    <xf numFmtId="0" fontId="0" fillId="3" borderId="5" xfId="0" applyFill="1" applyBorder="1"/>
    <xf numFmtId="44" fontId="2" fillId="5" borderId="0" xfId="0" applyNumberFormat="1" applyFont="1" applyFill="1"/>
    <xf numFmtId="44" fontId="3" fillId="5" borderId="0" xfId="0" applyNumberFormat="1" applyFont="1" applyFill="1"/>
    <xf numFmtId="44" fontId="1" fillId="0" borderId="0" xfId="0" applyNumberFormat="1" applyFont="1"/>
    <xf numFmtId="0" fontId="0" fillId="5" borderId="1" xfId="0" applyFill="1" applyBorder="1"/>
    <xf numFmtId="0" fontId="0" fillId="5" borderId="2" xfId="0" applyFill="1" applyBorder="1"/>
    <xf numFmtId="0" fontId="1" fillId="5" borderId="2" xfId="0" applyFont="1" applyFill="1" applyBorder="1"/>
    <xf numFmtId="0" fontId="1" fillId="5" borderId="3" xfId="0" applyFont="1" applyFill="1" applyBorder="1"/>
    <xf numFmtId="44" fontId="3" fillId="5" borderId="5" xfId="0" applyNumberFormat="1" applyFont="1" applyFill="1" applyBorder="1"/>
    <xf numFmtId="44" fontId="1" fillId="0" borderId="3" xfId="0" applyNumberFormat="1" applyFont="1" applyBorder="1"/>
    <xf numFmtId="44" fontId="1" fillId="0" borderId="5" xfId="0" applyNumberFormat="1" applyFont="1" applyBorder="1"/>
    <xf numFmtId="44" fontId="1" fillId="0" borderId="8" xfId="0" applyNumberFormat="1" applyFont="1" applyBorder="1"/>
    <xf numFmtId="0" fontId="1" fillId="3" borderId="8" xfId="0" applyFont="1" applyFill="1" applyBorder="1"/>
    <xf numFmtId="0" fontId="8" fillId="3" borderId="1" xfId="0" applyFont="1" applyFill="1" applyBorder="1" applyAlignment="1">
      <alignment vertical="center" wrapText="1"/>
    </xf>
    <xf numFmtId="0" fontId="7"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10" fillId="3" borderId="7"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vertical="center" wrapText="1"/>
    </xf>
    <xf numFmtId="0" fontId="7" fillId="0" borderId="4" xfId="0" applyFont="1" applyBorder="1" applyAlignment="1">
      <alignment vertical="center" wrapText="1"/>
    </xf>
    <xf numFmtId="44" fontId="8" fillId="0" borderId="0" xfId="0" applyNumberFormat="1" applyFont="1" applyAlignment="1">
      <alignment vertical="center" wrapText="1"/>
    </xf>
    <xf numFmtId="44" fontId="7" fillId="3" borderId="0" xfId="0" applyNumberFormat="1" applyFont="1" applyFill="1" applyAlignment="1">
      <alignment horizontal="left" vertical="center" wrapText="1"/>
    </xf>
    <xf numFmtId="44" fontId="8" fillId="3" borderId="10" xfId="0" applyNumberFormat="1" applyFont="1" applyFill="1" applyBorder="1" applyAlignment="1">
      <alignment vertical="center" wrapText="1"/>
    </xf>
    <xf numFmtId="10" fontId="8" fillId="3" borderId="10" xfId="0" applyNumberFormat="1" applyFont="1" applyFill="1" applyBorder="1" applyAlignment="1">
      <alignment vertical="center" wrapText="1"/>
    </xf>
    <xf numFmtId="0" fontId="8" fillId="3" borderId="11"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44" fontId="7" fillId="0" borderId="2" xfId="0" applyNumberFormat="1" applyFont="1" applyBorder="1" applyAlignment="1">
      <alignment vertical="center" wrapText="1"/>
    </xf>
    <xf numFmtId="10" fontId="7" fillId="0" borderId="2" xfId="0" applyNumberFormat="1" applyFont="1" applyBorder="1" applyAlignment="1">
      <alignment vertical="center" wrapText="1"/>
    </xf>
    <xf numFmtId="0" fontId="7" fillId="0" borderId="3" xfId="0" applyFont="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5" borderId="4" xfId="0" applyFont="1" applyFill="1" applyBorder="1" applyAlignment="1">
      <alignment horizontal="center"/>
    </xf>
    <xf numFmtId="0" fontId="2" fillId="5" borderId="0" xfId="0" applyFont="1" applyFill="1" applyAlignment="1">
      <alignment horizontal="center"/>
    </xf>
    <xf numFmtId="0" fontId="2" fillId="5" borderId="5" xfId="0" applyFont="1" applyFill="1" applyBorder="1" applyAlignment="1">
      <alignment horizontal="center"/>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0" fontId="4" fillId="9" borderId="9" xfId="0" applyFont="1" applyFill="1" applyBorder="1" applyAlignment="1">
      <alignment horizontal="center"/>
    </xf>
    <xf numFmtId="0" fontId="4" fillId="9" borderId="10" xfId="0" applyFont="1" applyFill="1" applyBorder="1" applyAlignment="1">
      <alignment horizontal="center"/>
    </xf>
    <xf numFmtId="0" fontId="4" fillId="9" borderId="11" xfId="0" applyFont="1" applyFill="1" applyBorder="1" applyAlignment="1">
      <alignment horizontal="center"/>
    </xf>
    <xf numFmtId="0" fontId="4" fillId="6" borderId="9" xfId="0" applyFont="1" applyFill="1" applyBorder="1" applyAlignment="1">
      <alignment horizontal="center"/>
    </xf>
    <xf numFmtId="0" fontId="4" fillId="6" borderId="10" xfId="0" applyFont="1" applyFill="1" applyBorder="1" applyAlignment="1">
      <alignment horizontal="center"/>
    </xf>
    <xf numFmtId="0" fontId="4" fillId="6" borderId="11" xfId="0" applyFont="1" applyFill="1" applyBorder="1" applyAlignment="1">
      <alignment horizontal="center"/>
    </xf>
    <xf numFmtId="0" fontId="4" fillId="8" borderId="9" xfId="0" applyFont="1" applyFill="1" applyBorder="1" applyAlignment="1">
      <alignment horizontal="center"/>
    </xf>
    <xf numFmtId="0" fontId="4" fillId="8" borderId="10" xfId="0" applyFont="1" applyFill="1" applyBorder="1" applyAlignment="1">
      <alignment horizontal="center"/>
    </xf>
    <xf numFmtId="0" fontId="4" fillId="8" borderId="11" xfId="0" applyFont="1" applyFill="1" applyBorder="1" applyAlignment="1">
      <alignment horizontal="center"/>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applyAlignment="1">
      <alignment horizontal="center"/>
    </xf>
  </cellXfs>
  <cellStyles count="1">
    <cellStyle name="Normal" xfId="0" builtinId="0"/>
  </cellStyles>
  <dxfs count="2">
    <dxf>
      <font>
        <color rgb="FFFF0000"/>
      </font>
    </dxf>
    <dxf>
      <font>
        <color rgb="FFFF0000"/>
      </font>
    </dxf>
  </dxfs>
  <tableStyles count="0" defaultTableStyle="TableStyleMedium2" defaultPivotStyle="PivotStyleMedium9"/>
  <colors>
    <mruColors>
      <color rgb="FF990000"/>
      <color rgb="FFCC9900"/>
      <color rgb="FFFFFF99"/>
      <color rgb="FFFFFF00"/>
      <color rgb="FF3C7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2B8E9-2886-4325-8C87-CDF1C94B1992}">
  <dimension ref="A1:N88"/>
  <sheetViews>
    <sheetView topLeftCell="A69" zoomScale="127" workbookViewId="0">
      <selection activeCell="H96" sqref="H96"/>
    </sheetView>
  </sheetViews>
  <sheetFormatPr defaultColWidth="8.85546875" defaultRowHeight="12" outlineLevelCol="1" x14ac:dyDescent="0.25"/>
  <cols>
    <col min="1" max="1" width="4.85546875" style="65" customWidth="1"/>
    <col min="2" max="2" width="17.42578125" style="65" customWidth="1"/>
    <col min="3" max="3" width="8.85546875" style="65" customWidth="1" outlineLevel="1"/>
    <col min="4" max="4" width="10.85546875" style="65" customWidth="1" outlineLevel="1"/>
    <col min="5" max="5" width="10.140625" style="65" customWidth="1" outlineLevel="1"/>
    <col min="6" max="6" width="11.140625" style="65" customWidth="1" outlineLevel="1"/>
    <col min="7" max="7" width="10" style="65" customWidth="1" outlineLevel="1"/>
    <col min="8" max="8" width="11.5703125" style="65" customWidth="1" outlineLevel="1"/>
    <col min="9" max="9" width="9.7109375" style="65" customWidth="1"/>
    <col min="10" max="10" width="11.42578125" style="65" customWidth="1"/>
    <col min="11" max="11" width="8.28515625" style="65" bestFit="1" customWidth="1"/>
    <col min="12" max="12" width="40.140625" style="65" customWidth="1"/>
    <col min="13" max="16384" width="8.85546875" style="65"/>
  </cols>
  <sheetData>
    <row r="1" spans="1:12" x14ac:dyDescent="0.25">
      <c r="A1" s="107" t="s">
        <v>0</v>
      </c>
      <c r="B1" s="108"/>
      <c r="C1" s="108"/>
      <c r="D1" s="108"/>
      <c r="E1" s="108"/>
      <c r="F1" s="108"/>
      <c r="G1" s="108"/>
      <c r="H1" s="108"/>
      <c r="I1" s="108"/>
      <c r="J1" s="108"/>
      <c r="K1" s="108"/>
      <c r="L1" s="108"/>
    </row>
    <row r="2" spans="1:12" x14ac:dyDescent="0.25">
      <c r="A2" s="87"/>
      <c r="B2" s="88"/>
      <c r="C2" s="109" t="s">
        <v>1</v>
      </c>
      <c r="D2" s="109"/>
      <c r="E2" s="109" t="s">
        <v>2</v>
      </c>
      <c r="F2" s="109"/>
      <c r="G2" s="109" t="s">
        <v>3</v>
      </c>
      <c r="H2" s="109"/>
      <c r="I2" s="112" t="s">
        <v>4</v>
      </c>
      <c r="J2" s="112"/>
      <c r="K2" s="89"/>
      <c r="L2" s="90"/>
    </row>
    <row r="3" spans="1:12" x14ac:dyDescent="0.25">
      <c r="A3" s="91" t="s">
        <v>5</v>
      </c>
      <c r="B3" s="92" t="s">
        <v>6</v>
      </c>
      <c r="C3" s="92" t="s">
        <v>7</v>
      </c>
      <c r="D3" s="92" t="s">
        <v>8</v>
      </c>
      <c r="E3" s="92" t="s">
        <v>7</v>
      </c>
      <c r="F3" s="92" t="s">
        <v>8</v>
      </c>
      <c r="G3" s="92" t="s">
        <v>7</v>
      </c>
      <c r="H3" s="92" t="s">
        <v>8</v>
      </c>
      <c r="I3" s="93" t="s">
        <v>7</v>
      </c>
      <c r="J3" s="93" t="s">
        <v>8</v>
      </c>
      <c r="K3" s="94" t="s">
        <v>9</v>
      </c>
      <c r="L3" s="95" t="s">
        <v>10</v>
      </c>
    </row>
    <row r="4" spans="1:12" x14ac:dyDescent="0.25">
      <c r="A4" s="96"/>
      <c r="C4" s="66"/>
      <c r="D4" s="66"/>
      <c r="E4" s="66"/>
      <c r="F4" s="66"/>
      <c r="G4" s="66"/>
      <c r="H4" s="66"/>
      <c r="I4" s="66"/>
      <c r="J4" s="66"/>
      <c r="K4" s="97"/>
      <c r="L4" s="68"/>
    </row>
    <row r="5" spans="1:12" x14ac:dyDescent="0.25">
      <c r="A5" s="69">
        <v>1</v>
      </c>
      <c r="B5" s="70" t="s">
        <v>11</v>
      </c>
      <c r="C5" s="71"/>
      <c r="D5" s="71">
        <f>SUM(C6:C8)</f>
        <v>15215</v>
      </c>
      <c r="E5" s="71"/>
      <c r="F5" s="71">
        <f t="shared" ref="F5" si="0">SUM(E6:E8)</f>
        <v>16436.96</v>
      </c>
      <c r="G5" s="71"/>
      <c r="H5" s="71">
        <f t="shared" ref="H5" si="1">SUM(G6:G8)</f>
        <v>13649.09</v>
      </c>
      <c r="I5" s="71"/>
      <c r="J5" s="98">
        <f>SUM(I6:I8)</f>
        <v>14853.39</v>
      </c>
      <c r="K5" s="72">
        <f>SUM(I5:J5)/$J$27</f>
        <v>0.45087317388713621</v>
      </c>
      <c r="L5" s="73"/>
    </row>
    <row r="6" spans="1:12" ht="36" x14ac:dyDescent="0.25">
      <c r="A6" s="64" t="s">
        <v>12</v>
      </c>
      <c r="B6" s="65" t="s">
        <v>13</v>
      </c>
      <c r="C6" s="66">
        <v>7225</v>
      </c>
      <c r="D6" s="66"/>
      <c r="E6" s="66">
        <v>7903.24</v>
      </c>
      <c r="F6" s="66"/>
      <c r="G6" s="66">
        <v>12524.09</v>
      </c>
      <c r="H6" s="66"/>
      <c r="I6" s="66">
        <f>'Post_Bijdrage Deelnemers_v2'!C59</f>
        <v>13728.39</v>
      </c>
      <c r="J6" s="66"/>
      <c r="K6" s="67">
        <f>SUM(I6:J6)/$J$27</f>
        <v>0.41672391094965</v>
      </c>
      <c r="L6" s="68" t="str">
        <f>"Voor verdere uitsplitsing zie tabblad dat hoort bij deze post. Het kaartje voor heel PaCo zal voor een normale PaCo-ganger €" &amp; 'Post_Bijdrage Deelnemers_v2'!H3 &amp; " kosten"</f>
        <v>Voor verdere uitsplitsing zie tabblad dat hoort bij deze post. Het kaartje voor heel PaCo zal voor een normale PaCo-ganger €76,72 kosten</v>
      </c>
    </row>
    <row r="7" spans="1:12" ht="24" x14ac:dyDescent="0.25">
      <c r="A7" s="64" t="s">
        <v>14</v>
      </c>
      <c r="B7" s="65" t="s">
        <v>15</v>
      </c>
      <c r="C7" s="66">
        <v>7990</v>
      </c>
      <c r="D7" s="66"/>
      <c r="E7" s="66">
        <v>8533.7199999999993</v>
      </c>
      <c r="F7" s="66"/>
      <c r="G7" s="66">
        <v>0</v>
      </c>
      <c r="H7" s="66"/>
      <c r="I7" s="66"/>
      <c r="J7" s="66"/>
      <c r="K7" s="67">
        <f>SUM(I7:J7)/$J$27</f>
        <v>0</v>
      </c>
      <c r="L7" s="68"/>
    </row>
    <row r="8" spans="1:12" x14ac:dyDescent="0.25">
      <c r="A8" s="64" t="s">
        <v>16</v>
      </c>
      <c r="B8" s="65" t="s">
        <v>17</v>
      </c>
      <c r="C8" s="66">
        <v>0</v>
      </c>
      <c r="D8" s="66"/>
      <c r="E8" s="66">
        <v>0</v>
      </c>
      <c r="F8" s="66"/>
      <c r="G8" s="66">
        <v>1125</v>
      </c>
      <c r="H8" s="66"/>
      <c r="I8" s="66">
        <f>I39</f>
        <v>1125</v>
      </c>
      <c r="J8" s="66"/>
      <c r="K8" s="67">
        <f>SUM(I8:J8)/$J$27</f>
        <v>3.4149262937486206E-2</v>
      </c>
      <c r="L8" s="68"/>
    </row>
    <row r="9" spans="1:12" x14ac:dyDescent="0.25">
      <c r="A9" s="96"/>
      <c r="C9" s="66"/>
      <c r="D9" s="66"/>
      <c r="E9" s="66"/>
      <c r="F9" s="66"/>
      <c r="G9" s="66"/>
      <c r="H9" s="66"/>
      <c r="I9" s="66"/>
      <c r="J9" s="66"/>
      <c r="K9" s="67"/>
      <c r="L9" s="68"/>
    </row>
    <row r="10" spans="1:12" x14ac:dyDescent="0.25">
      <c r="A10" s="69">
        <f>A5+1</f>
        <v>2</v>
      </c>
      <c r="B10" s="70" t="s">
        <v>18</v>
      </c>
      <c r="C10" s="71"/>
      <c r="D10" s="71">
        <f>SUM(C11)</f>
        <v>5950</v>
      </c>
      <c r="E10" s="71"/>
      <c r="F10" s="71">
        <f t="shared" ref="F10" si="2">SUM(E11)</f>
        <v>5565</v>
      </c>
      <c r="G10" s="71"/>
      <c r="H10" s="71">
        <f t="shared" ref="H10" si="3">SUM(G11)</f>
        <v>5740</v>
      </c>
      <c r="I10" s="71"/>
      <c r="J10" s="71">
        <f>SUM(I11)</f>
        <v>4900</v>
      </c>
      <c r="K10" s="72">
        <f>SUM(I10:J10)/$J$27</f>
        <v>0.14873901190549549</v>
      </c>
      <c r="L10" s="73"/>
    </row>
    <row r="11" spans="1:12" ht="24" x14ac:dyDescent="0.25">
      <c r="A11" s="64" t="s">
        <v>12</v>
      </c>
      <c r="B11" s="65" t="s">
        <v>19</v>
      </c>
      <c r="C11" s="66">
        <v>5950</v>
      </c>
      <c r="D11" s="66"/>
      <c r="E11" s="66">
        <v>5565</v>
      </c>
      <c r="F11" s="66"/>
      <c r="G11" s="66">
        <v>5740</v>
      </c>
      <c r="H11" s="66"/>
      <c r="I11" s="66">
        <f>700*7</f>
        <v>4900</v>
      </c>
      <c r="J11" s="66"/>
      <c r="K11" s="67">
        <f>SUM(I11:J11)/$J$27</f>
        <v>0.14873901190549549</v>
      </c>
      <c r="L11" s="68" t="s">
        <v>20</v>
      </c>
    </row>
    <row r="12" spans="1:12" x14ac:dyDescent="0.25">
      <c r="A12" s="96"/>
      <c r="C12" s="66"/>
      <c r="D12" s="66"/>
      <c r="E12" s="66"/>
      <c r="F12" s="66"/>
      <c r="G12" s="66"/>
      <c r="H12" s="66"/>
      <c r="I12" s="66"/>
      <c r="J12" s="66"/>
      <c r="K12" s="67"/>
      <c r="L12" s="68"/>
    </row>
    <row r="13" spans="1:12" x14ac:dyDescent="0.25">
      <c r="A13" s="69">
        <f>A10+1</f>
        <v>3</v>
      </c>
      <c r="B13" s="70" t="s">
        <v>21</v>
      </c>
      <c r="C13" s="71"/>
      <c r="D13" s="71">
        <f>SUM(C14:C15)</f>
        <v>3000</v>
      </c>
      <c r="E13" s="71"/>
      <c r="F13" s="71">
        <f t="shared" ref="F13" si="4">SUM(E14:E15)</f>
        <v>3165</v>
      </c>
      <c r="G13" s="71"/>
      <c r="H13" s="71">
        <f t="shared" ref="H13" si="5">SUM(G14:G15)</f>
        <v>4000</v>
      </c>
      <c r="I13" s="71"/>
      <c r="J13" s="71">
        <f>SUM(I14:I16)</f>
        <v>6000.22</v>
      </c>
      <c r="K13" s="72">
        <f>SUM(I13:J13)/$J$27</f>
        <v>0.18213608041134532</v>
      </c>
      <c r="L13" s="73"/>
    </row>
    <row r="14" spans="1:12" x14ac:dyDescent="0.25">
      <c r="A14" s="64" t="s">
        <v>12</v>
      </c>
      <c r="B14" s="65" t="s">
        <v>22</v>
      </c>
      <c r="C14" s="66">
        <v>2500</v>
      </c>
      <c r="D14" s="66"/>
      <c r="E14" s="66">
        <v>1665</v>
      </c>
      <c r="F14" s="66"/>
      <c r="G14" s="66">
        <v>2500</v>
      </c>
      <c r="H14" s="66"/>
      <c r="I14" s="66">
        <v>4000</v>
      </c>
      <c r="J14" s="66"/>
      <c r="K14" s="67">
        <f>SUM(I14:J14)/$J$27</f>
        <v>0.12141960155550652</v>
      </c>
      <c r="L14" s="68" t="s">
        <v>23</v>
      </c>
    </row>
    <row r="15" spans="1:12" x14ac:dyDescent="0.25">
      <c r="A15" s="64" t="s">
        <v>14</v>
      </c>
      <c r="B15" s="65" t="s">
        <v>24</v>
      </c>
      <c r="C15" s="66">
        <v>500</v>
      </c>
      <c r="D15" s="66"/>
      <c r="E15" s="66">
        <v>1500</v>
      </c>
      <c r="F15" s="66"/>
      <c r="G15" s="66">
        <v>1500</v>
      </c>
      <c r="H15" s="66"/>
      <c r="I15" s="66">
        <v>2000</v>
      </c>
      <c r="J15" s="66"/>
      <c r="K15" s="67">
        <f>SUM(I15:J15)/$J$27</f>
        <v>6.0709800777753259E-2</v>
      </c>
      <c r="L15" s="68"/>
    </row>
    <row r="16" spans="1:12" x14ac:dyDescent="0.25">
      <c r="A16" s="64" t="s">
        <v>16</v>
      </c>
      <c r="B16" s="65" t="s">
        <v>25</v>
      </c>
      <c r="C16" s="66">
        <v>0</v>
      </c>
      <c r="D16" s="66"/>
      <c r="E16" s="66">
        <v>0</v>
      </c>
      <c r="F16" s="66"/>
      <c r="G16" s="66">
        <v>0</v>
      </c>
      <c r="H16" s="66"/>
      <c r="I16" s="66">
        <v>0.22</v>
      </c>
      <c r="J16" s="66"/>
      <c r="K16" s="67">
        <f>SUM(I16:J16)/$J$27</f>
        <v>6.6780780855528581E-6</v>
      </c>
      <c r="L16" s="68" t="s">
        <v>241</v>
      </c>
    </row>
    <row r="17" spans="1:14" x14ac:dyDescent="0.25">
      <c r="A17" s="96"/>
      <c r="C17" s="66"/>
      <c r="D17" s="66"/>
      <c r="E17" s="66"/>
      <c r="F17" s="66"/>
      <c r="G17" s="66"/>
      <c r="H17" s="66"/>
      <c r="I17" s="66"/>
      <c r="J17" s="66"/>
      <c r="K17" s="67"/>
      <c r="L17" s="68"/>
      <c r="N17" s="66"/>
    </row>
    <row r="18" spans="1:14" x14ac:dyDescent="0.25">
      <c r="A18" s="69">
        <f>A13+1</f>
        <v>4</v>
      </c>
      <c r="B18" s="70" t="s">
        <v>26</v>
      </c>
      <c r="C18" s="71"/>
      <c r="D18" s="71">
        <f>SUM(C19)</f>
        <v>2400</v>
      </c>
      <c r="E18" s="71"/>
      <c r="F18" s="71">
        <f t="shared" ref="F18" si="6">SUM(E19)</f>
        <v>1795.6</v>
      </c>
      <c r="G18" s="71"/>
      <c r="H18" s="71">
        <f t="shared" ref="H18" si="7">SUM(G19)</f>
        <v>7125</v>
      </c>
      <c r="I18" s="71"/>
      <c r="J18" s="71">
        <f>SUM(I19)</f>
        <v>6690</v>
      </c>
      <c r="K18" s="72">
        <f>SUM(I18:J18)/$J$27</f>
        <v>0.20307428360158464</v>
      </c>
      <c r="L18" s="73"/>
    </row>
    <row r="19" spans="1:14" x14ac:dyDescent="0.25">
      <c r="A19" s="64" t="s">
        <v>12</v>
      </c>
      <c r="B19" s="65" t="s">
        <v>26</v>
      </c>
      <c r="C19" s="66">
        <v>2400</v>
      </c>
      <c r="D19" s="66"/>
      <c r="E19" s="66">
        <v>1795.6</v>
      </c>
      <c r="F19" s="66"/>
      <c r="G19" s="66">
        <v>7125</v>
      </c>
      <c r="H19" s="66"/>
      <c r="I19" s="66">
        <f>Post_BarOmzet!E14</f>
        <v>6690</v>
      </c>
      <c r="J19" s="66"/>
      <c r="K19" s="67">
        <f>SUM(I19:J19)/$J$27</f>
        <v>0.20307428360158464</v>
      </c>
      <c r="L19" s="68" t="s">
        <v>27</v>
      </c>
    </row>
    <row r="20" spans="1:14" x14ac:dyDescent="0.25">
      <c r="A20" s="64"/>
      <c r="C20" s="66"/>
      <c r="D20" s="66"/>
      <c r="E20" s="66"/>
      <c r="F20" s="66"/>
      <c r="G20" s="66"/>
      <c r="H20" s="66"/>
      <c r="I20" s="66"/>
      <c r="J20" s="66"/>
      <c r="K20" s="67"/>
      <c r="L20" s="68"/>
    </row>
    <row r="21" spans="1:14" x14ac:dyDescent="0.25">
      <c r="A21" s="69">
        <f>A18+1</f>
        <v>5</v>
      </c>
      <c r="B21" s="70" t="s">
        <v>28</v>
      </c>
      <c r="C21" s="71"/>
      <c r="D21" s="71">
        <v>0</v>
      </c>
      <c r="E21" s="71"/>
      <c r="F21" s="71">
        <v>0</v>
      </c>
      <c r="G21" s="71"/>
      <c r="H21" s="71">
        <v>0</v>
      </c>
      <c r="I21" s="71"/>
      <c r="J21" s="71">
        <f>I38</f>
        <v>500</v>
      </c>
      <c r="K21" s="72">
        <f t="shared" ref="K21:K23" si="8">SUM(I21:J21)/$J$27</f>
        <v>1.5177450194438315E-2</v>
      </c>
      <c r="L21" s="73" t="s">
        <v>29</v>
      </c>
    </row>
    <row r="22" spans="1:14" x14ac:dyDescent="0.25">
      <c r="A22" s="96"/>
      <c r="C22" s="66"/>
      <c r="D22" s="66"/>
      <c r="E22" s="66"/>
      <c r="F22" s="66"/>
      <c r="G22" s="66"/>
      <c r="H22" s="66"/>
      <c r="I22" s="66"/>
      <c r="J22" s="66"/>
      <c r="K22" s="67"/>
      <c r="L22" s="68"/>
    </row>
    <row r="23" spans="1:14" ht="72" x14ac:dyDescent="0.25">
      <c r="A23" s="69">
        <f>A21+1</f>
        <v>6</v>
      </c>
      <c r="B23" s="70" t="s">
        <v>30</v>
      </c>
      <c r="C23" s="71"/>
      <c r="D23" s="71">
        <v>0</v>
      </c>
      <c r="E23" s="71"/>
      <c r="F23" s="71">
        <v>0</v>
      </c>
      <c r="G23" s="71"/>
      <c r="H23" s="71">
        <v>0</v>
      </c>
      <c r="I23" s="71"/>
      <c r="J23" s="71">
        <v>0</v>
      </c>
      <c r="K23" s="72">
        <f t="shared" si="8"/>
        <v>0</v>
      </c>
      <c r="L23" s="73" t="s">
        <v>31</v>
      </c>
    </row>
    <row r="24" spans="1:14" x14ac:dyDescent="0.25">
      <c r="A24" s="96"/>
      <c r="C24" s="66"/>
      <c r="D24" s="66"/>
      <c r="E24" s="66"/>
      <c r="F24" s="66"/>
      <c r="G24" s="66"/>
      <c r="H24" s="66"/>
      <c r="I24" s="66"/>
      <c r="J24" s="66"/>
      <c r="K24" s="67"/>
      <c r="L24" s="68"/>
    </row>
    <row r="25" spans="1:14" x14ac:dyDescent="0.25">
      <c r="A25" s="69">
        <f>A23+1</f>
        <v>7</v>
      </c>
      <c r="B25" s="70" t="s">
        <v>32</v>
      </c>
      <c r="C25" s="71"/>
      <c r="D25" s="71">
        <v>0</v>
      </c>
      <c r="E25" s="71"/>
      <c r="F25" s="71">
        <v>445.38</v>
      </c>
      <c r="G25" s="71"/>
      <c r="H25" s="71">
        <v>0</v>
      </c>
      <c r="I25" s="71"/>
      <c r="J25" s="71">
        <v>0</v>
      </c>
      <c r="K25" s="72">
        <f>SUM(I25:J25)/$J$27</f>
        <v>0</v>
      </c>
      <c r="L25" s="73"/>
    </row>
    <row r="26" spans="1:14" x14ac:dyDescent="0.25">
      <c r="A26" s="96"/>
      <c r="C26" s="66"/>
      <c r="D26" s="66"/>
      <c r="E26" s="66"/>
      <c r="F26" s="66"/>
      <c r="G26" s="66"/>
      <c r="H26" s="66"/>
      <c r="I26" s="66"/>
      <c r="J26" s="66"/>
      <c r="K26" s="67"/>
      <c r="L26" s="68"/>
      <c r="N26" s="66"/>
    </row>
    <row r="27" spans="1:14" x14ac:dyDescent="0.25">
      <c r="A27" s="110" t="s">
        <v>33</v>
      </c>
      <c r="B27" s="111"/>
      <c r="C27" s="99"/>
      <c r="D27" s="99">
        <f>SUM(D4:D26)</f>
        <v>26565</v>
      </c>
      <c r="E27" s="99"/>
      <c r="F27" s="99">
        <f>SUM(F4:F26)</f>
        <v>27407.94</v>
      </c>
      <c r="G27" s="99"/>
      <c r="H27" s="99">
        <f>SUM(H4:H26)</f>
        <v>30514.09</v>
      </c>
      <c r="I27" s="99"/>
      <c r="J27" s="99">
        <f>SUM(J4:J26)</f>
        <v>32943.61</v>
      </c>
      <c r="K27" s="100">
        <f>SUM(K5,K10,K13,K18,K21,K23,K25)</f>
        <v>1</v>
      </c>
      <c r="L27" s="101"/>
    </row>
    <row r="28" spans="1:14" ht="15" x14ac:dyDescent="0.25">
      <c r="A28" s="31"/>
      <c r="B28" s="31"/>
      <c r="C28" s="31"/>
      <c r="D28" s="31"/>
      <c r="E28" s="31"/>
      <c r="F28" s="31"/>
      <c r="G28" s="31"/>
      <c r="H28" s="31"/>
      <c r="I28" s="31"/>
      <c r="J28" s="31"/>
      <c r="K28" s="31"/>
      <c r="L28" s="31"/>
    </row>
    <row r="29" spans="1:14" ht="15" x14ac:dyDescent="0.25">
      <c r="A29" s="31"/>
      <c r="B29" s="31"/>
      <c r="C29" s="31"/>
      <c r="D29" s="31"/>
      <c r="E29" s="31"/>
      <c r="F29" s="31"/>
      <c r="G29" s="31"/>
      <c r="H29" s="31"/>
      <c r="I29" s="31"/>
      <c r="J29" s="31"/>
      <c r="K29" s="31"/>
      <c r="L29" s="31"/>
    </row>
    <row r="30" spans="1:14" ht="15" x14ac:dyDescent="0.25">
      <c r="A30" s="31"/>
      <c r="B30" s="31"/>
      <c r="C30" s="31"/>
      <c r="D30" s="31"/>
      <c r="E30" s="31"/>
      <c r="F30" s="31"/>
      <c r="G30" s="31"/>
      <c r="H30" s="31"/>
      <c r="I30" s="31"/>
      <c r="J30" s="31"/>
      <c r="K30" s="31"/>
      <c r="L30" s="31"/>
    </row>
    <row r="31" spans="1:14" x14ac:dyDescent="0.25">
      <c r="A31" s="113" t="s">
        <v>34</v>
      </c>
      <c r="B31" s="114"/>
      <c r="C31" s="114"/>
      <c r="D31" s="114"/>
      <c r="E31" s="114"/>
      <c r="F31" s="114"/>
      <c r="G31" s="114"/>
      <c r="H31" s="114"/>
      <c r="I31" s="114"/>
      <c r="J31" s="114"/>
      <c r="K31" s="114"/>
      <c r="L31" s="115"/>
    </row>
    <row r="32" spans="1:14" x14ac:dyDescent="0.25">
      <c r="A32" s="87"/>
      <c r="B32" s="88"/>
      <c r="C32" s="109" t="s">
        <v>1</v>
      </c>
      <c r="D32" s="109"/>
      <c r="E32" s="109" t="s">
        <v>2</v>
      </c>
      <c r="F32" s="109"/>
      <c r="G32" s="109" t="s">
        <v>3</v>
      </c>
      <c r="H32" s="109"/>
      <c r="I32" s="112" t="s">
        <v>4</v>
      </c>
      <c r="J32" s="112"/>
      <c r="K32" s="89"/>
      <c r="L32" s="90"/>
    </row>
    <row r="33" spans="1:12" x14ac:dyDescent="0.25">
      <c r="A33" s="91" t="s">
        <v>5</v>
      </c>
      <c r="B33" s="92" t="s">
        <v>6</v>
      </c>
      <c r="C33" s="92" t="s">
        <v>7</v>
      </c>
      <c r="D33" s="92" t="s">
        <v>8</v>
      </c>
      <c r="E33" s="92" t="s">
        <v>7</v>
      </c>
      <c r="F33" s="92" t="s">
        <v>8</v>
      </c>
      <c r="G33" s="92" t="s">
        <v>7</v>
      </c>
      <c r="H33" s="92" t="s">
        <v>8</v>
      </c>
      <c r="I33" s="93" t="s">
        <v>7</v>
      </c>
      <c r="J33" s="93" t="s">
        <v>8</v>
      </c>
      <c r="K33" s="94" t="s">
        <v>9</v>
      </c>
      <c r="L33" s="95" t="s">
        <v>10</v>
      </c>
    </row>
    <row r="34" spans="1:12" x14ac:dyDescent="0.25">
      <c r="A34" s="102"/>
      <c r="B34" s="103"/>
      <c r="C34" s="104"/>
      <c r="D34" s="104"/>
      <c r="E34" s="104"/>
      <c r="F34" s="104"/>
      <c r="G34" s="104"/>
      <c r="H34" s="104"/>
      <c r="I34" s="104"/>
      <c r="J34" s="104"/>
      <c r="K34" s="105"/>
      <c r="L34" s="106"/>
    </row>
    <row r="35" spans="1:12" x14ac:dyDescent="0.25">
      <c r="A35" s="69">
        <f>A25+1</f>
        <v>8</v>
      </c>
      <c r="B35" s="70" t="s">
        <v>35</v>
      </c>
      <c r="C35" s="71"/>
      <c r="D35" s="71">
        <f>SUM(C36:C39)</f>
        <v>14170</v>
      </c>
      <c r="E35" s="71"/>
      <c r="F35" s="71">
        <f t="shared" ref="F35" si="9">SUM(E36:E39)</f>
        <v>14725.5</v>
      </c>
      <c r="G35" s="71"/>
      <c r="H35" s="71">
        <f t="shared" ref="H35" si="10">SUM(G36:G39)</f>
        <v>15792.5</v>
      </c>
      <c r="I35" s="71"/>
      <c r="J35" s="71">
        <f>SUM(I36:I39)</f>
        <v>16495</v>
      </c>
      <c r="K35" s="72">
        <f>SUM(I35:J35)/$J$88</f>
        <v>0.50070408191451998</v>
      </c>
      <c r="L35" s="73"/>
    </row>
    <row r="36" spans="1:12" x14ac:dyDescent="0.25">
      <c r="A36" s="64" t="s">
        <v>12</v>
      </c>
      <c r="B36" s="65" t="s">
        <v>36</v>
      </c>
      <c r="C36" s="66">
        <v>14095</v>
      </c>
      <c r="D36" s="66"/>
      <c r="E36" s="66">
        <v>14650.5</v>
      </c>
      <c r="F36" s="66"/>
      <c r="G36" s="66">
        <v>14592.5</v>
      </c>
      <c r="H36" s="66"/>
      <c r="I36" s="66">
        <f>13250+1545</f>
        <v>14795</v>
      </c>
      <c r="J36" s="66"/>
      <c r="K36" s="67">
        <f>SUM(I36:J36)/$J$88</f>
        <v>0.44910075125342974</v>
      </c>
      <c r="L36" s="68" t="s">
        <v>37</v>
      </c>
    </row>
    <row r="37" spans="1:12" x14ac:dyDescent="0.25">
      <c r="A37" s="64" t="s">
        <v>14</v>
      </c>
      <c r="B37" s="65" t="s">
        <v>38</v>
      </c>
      <c r="C37" s="66">
        <f>75</f>
        <v>75</v>
      </c>
      <c r="D37" s="66"/>
      <c r="E37" s="66">
        <f>75</f>
        <v>75</v>
      </c>
      <c r="F37" s="66"/>
      <c r="G37" s="66">
        <v>75</v>
      </c>
      <c r="H37" s="66"/>
      <c r="I37" s="66">
        <f>75</f>
        <v>75</v>
      </c>
      <c r="J37" s="66"/>
      <c r="K37" s="67">
        <f>SUM(I37:J37)/$J$88</f>
        <v>2.2766175291657471E-3</v>
      </c>
      <c r="L37" s="68" t="s">
        <v>248</v>
      </c>
    </row>
    <row r="38" spans="1:12" x14ac:dyDescent="0.25">
      <c r="A38" s="64" t="s">
        <v>16</v>
      </c>
      <c r="B38" s="65" t="s">
        <v>28</v>
      </c>
      <c r="C38" s="66">
        <v>0</v>
      </c>
      <c r="D38" s="66"/>
      <c r="E38" s="66">
        <v>0</v>
      </c>
      <c r="F38" s="66"/>
      <c r="G38" s="66">
        <v>0</v>
      </c>
      <c r="H38" s="66"/>
      <c r="I38" s="66">
        <v>500</v>
      </c>
      <c r="J38" s="66"/>
      <c r="K38" s="67">
        <f>SUM(I38:J38)/$J$88</f>
        <v>1.5177450194438315E-2</v>
      </c>
      <c r="L38" s="68" t="s">
        <v>37</v>
      </c>
    </row>
    <row r="39" spans="1:12" x14ac:dyDescent="0.25">
      <c r="A39" s="64" t="s">
        <v>39</v>
      </c>
      <c r="B39" s="65" t="s">
        <v>17</v>
      </c>
      <c r="C39" s="66">
        <v>0</v>
      </c>
      <c r="D39" s="66"/>
      <c r="E39" s="66">
        <v>0</v>
      </c>
      <c r="F39" s="66"/>
      <c r="G39" s="66">
        <v>1125</v>
      </c>
      <c r="H39" s="66"/>
      <c r="I39" s="66">
        <f>90*12.5</f>
        <v>1125</v>
      </c>
      <c r="J39" s="66"/>
      <c r="K39" s="67">
        <f>SUM(I39:J39)/$J$88</f>
        <v>3.4149262937486206E-2</v>
      </c>
      <c r="L39" s="68" t="s">
        <v>40</v>
      </c>
    </row>
    <row r="40" spans="1:12" x14ac:dyDescent="0.25">
      <c r="A40" s="96"/>
      <c r="C40" s="66"/>
      <c r="D40" s="66"/>
      <c r="E40" s="66"/>
      <c r="F40" s="66"/>
      <c r="G40" s="66"/>
      <c r="H40" s="66"/>
      <c r="I40" s="66"/>
      <c r="J40" s="66"/>
      <c r="K40" s="67"/>
      <c r="L40" s="68"/>
    </row>
    <row r="41" spans="1:12" x14ac:dyDescent="0.25">
      <c r="A41" s="69">
        <f>A35+1</f>
        <v>9</v>
      </c>
      <c r="B41" s="70" t="s">
        <v>41</v>
      </c>
      <c r="C41" s="71"/>
      <c r="D41" s="71">
        <f>SUM(C42:C46)</f>
        <v>3400</v>
      </c>
      <c r="E41" s="71"/>
      <c r="F41" s="71">
        <f t="shared" ref="F41" si="11">SUM(E42:E46)</f>
        <v>1803.2600000000002</v>
      </c>
      <c r="G41" s="71"/>
      <c r="H41" s="71">
        <f t="shared" ref="H41" si="12">SUM(G42:G46)</f>
        <v>1180</v>
      </c>
      <c r="I41" s="71"/>
      <c r="J41" s="71">
        <f>SUM(I42:I47)</f>
        <v>2778.9</v>
      </c>
      <c r="K41" s="72">
        <f t="shared" ref="K41:K46" si="13">SUM(I41:J41)/$J$88</f>
        <v>8.435323269064926E-2</v>
      </c>
      <c r="L41" s="73"/>
    </row>
    <row r="42" spans="1:12" x14ac:dyDescent="0.25">
      <c r="A42" s="64" t="s">
        <v>12</v>
      </c>
      <c r="B42" s="65" t="s">
        <v>42</v>
      </c>
      <c r="C42" s="66">
        <v>150</v>
      </c>
      <c r="D42" s="66"/>
      <c r="E42" s="66">
        <v>19.95</v>
      </c>
      <c r="F42" s="66"/>
      <c r="G42" s="66">
        <v>0</v>
      </c>
      <c r="H42" s="66"/>
      <c r="I42" s="66">
        <f>Post_Sprekers!E4</f>
        <v>30</v>
      </c>
      <c r="J42" s="66"/>
      <c r="K42" s="67">
        <f t="shared" si="13"/>
        <v>9.1064701166629889E-4</v>
      </c>
      <c r="L42" s="68" t="str">
        <f>"We vergoeden zijn kaartje en een bedankje van €" &amp;Post_Sprekers!D3 &amp;",-."</f>
        <v>We vergoeden zijn kaartje en een bedankje van €30,-.</v>
      </c>
    </row>
    <row r="43" spans="1:12" ht="24" x14ac:dyDescent="0.25">
      <c r="A43" s="64" t="s">
        <v>14</v>
      </c>
      <c r="B43" s="65" t="s">
        <v>41</v>
      </c>
      <c r="C43" s="66">
        <v>1500</v>
      </c>
      <c r="D43" s="66"/>
      <c r="E43" s="66">
        <v>809.88</v>
      </c>
      <c r="F43" s="66"/>
      <c r="G43" s="66">
        <v>500</v>
      </c>
      <c r="H43" s="66"/>
      <c r="I43" s="66">
        <f>Post_Sprekers!E5</f>
        <v>1650</v>
      </c>
      <c r="J43" s="66"/>
      <c r="K43" s="67">
        <f t="shared" si="13"/>
        <v>5.0085585641646439E-2</v>
      </c>
      <c r="L43" s="68" t="str">
        <f>"Gemiddeld verwachten we €"&amp; Post_Sprekers!C3 &amp; ",- per spreker voor "&amp; Deelnemersvariabelen!K12&amp;" sprekers en €" &amp;Post_Sprekers!D3 &amp;",- per bedankje."</f>
        <v>Gemiddeld verwachten we €300,- per spreker voor 5 sprekers en €30,- per bedankje.</v>
      </c>
    </row>
    <row r="44" spans="1:12" ht="24" x14ac:dyDescent="0.25">
      <c r="A44" s="64" t="s">
        <v>16</v>
      </c>
      <c r="B44" s="65" t="s">
        <v>43</v>
      </c>
      <c r="C44" s="66">
        <v>1000</v>
      </c>
      <c r="D44" s="66"/>
      <c r="E44" s="66">
        <v>525.97</v>
      </c>
      <c r="F44" s="66"/>
      <c r="G44" s="66">
        <v>0</v>
      </c>
      <c r="H44" s="66"/>
      <c r="I44" s="66">
        <f>Post_Sprekers!E6</f>
        <v>525</v>
      </c>
      <c r="J44" s="66"/>
      <c r="K44" s="67">
        <f t="shared" si="13"/>
        <v>1.5936322704160229E-2</v>
      </c>
      <c r="L44" s="68" t="str">
        <f>"Gemiddeld verwachten we €" &amp; Post_Sprekers!C3*0.1 &amp; ",- kosten en  €" &amp;0.5*Post_Sprekers!D3 &amp;",- bedankje per workshopleider voor "&amp; Deelnemersvariabelen!K13 &amp;" workshopleiders."</f>
        <v>Gemiddeld verwachten we €30,- kosten en  €15,- bedankje per workshopleider voor 7 workshopleiders.</v>
      </c>
    </row>
    <row r="45" spans="1:12" x14ac:dyDescent="0.25">
      <c r="A45" s="64" t="s">
        <v>39</v>
      </c>
      <c r="B45" s="65" t="s">
        <v>44</v>
      </c>
      <c r="C45" s="66">
        <v>0</v>
      </c>
      <c r="D45" s="66"/>
      <c r="E45" s="66">
        <v>0</v>
      </c>
      <c r="F45" s="66"/>
      <c r="G45" s="66">
        <v>0</v>
      </c>
      <c r="H45" s="66"/>
      <c r="I45" s="66">
        <f>Post_Sprekers!E7</f>
        <v>15</v>
      </c>
      <c r="K45" s="67">
        <f t="shared" si="13"/>
        <v>4.5532350583314945E-4</v>
      </c>
      <c r="L45" s="68" t="str">
        <f>"€" &amp;0.5*Post_Sprekers!D3 &amp;",- bedankje voor één dominee tijdens de meditatie."</f>
        <v>€15,- bedankje voor één dominee tijdens de meditatie.</v>
      </c>
    </row>
    <row r="46" spans="1:12" ht="72" x14ac:dyDescent="0.25">
      <c r="A46" s="64" t="s">
        <v>45</v>
      </c>
      <c r="B46" s="65" t="s">
        <v>46</v>
      </c>
      <c r="C46" s="66">
        <v>750</v>
      </c>
      <c r="D46" s="66"/>
      <c r="E46" s="66">
        <v>447.46</v>
      </c>
      <c r="F46" s="66"/>
      <c r="G46" s="66">
        <v>680</v>
      </c>
      <c r="H46" s="66"/>
      <c r="I46" s="66">
        <f>Post_Sprekers!F8*0.75</f>
        <v>558.90000000000009</v>
      </c>
      <c r="J46" s="66"/>
      <c r="K46" s="67">
        <f t="shared" si="13"/>
        <v>1.6965353827343151E-2</v>
      </c>
      <c r="L46" s="68" t="s">
        <v>243</v>
      </c>
    </row>
    <row r="47" spans="1:12" x14ac:dyDescent="0.25">
      <c r="A47" s="96"/>
      <c r="C47" s="66"/>
      <c r="D47" s="66"/>
      <c r="E47" s="66"/>
      <c r="F47" s="66"/>
      <c r="G47" s="66"/>
      <c r="H47" s="66"/>
      <c r="I47" s="66"/>
      <c r="J47" s="66"/>
      <c r="K47" s="67"/>
      <c r="L47" s="68"/>
    </row>
    <row r="48" spans="1:12" x14ac:dyDescent="0.25">
      <c r="A48" s="69">
        <f>A41+1</f>
        <v>10</v>
      </c>
      <c r="B48" s="70" t="s">
        <v>47</v>
      </c>
      <c r="C48" s="71"/>
      <c r="D48" s="71">
        <f>SUM(C49:C53)</f>
        <v>7225</v>
      </c>
      <c r="E48" s="71"/>
      <c r="F48" s="71">
        <f>SUM(E49:E53)</f>
        <v>7903.24</v>
      </c>
      <c r="G48" s="71"/>
      <c r="H48" s="71">
        <f>SUM(G49:G53)</f>
        <v>10687.2</v>
      </c>
      <c r="I48" s="71"/>
      <c r="J48" s="71">
        <f>SUM(I49:I53)</f>
        <v>10014.9</v>
      </c>
      <c r="K48" s="72">
        <f t="shared" ref="K48:K53" si="14">SUM(I48:J48)/$J$88</f>
        <v>0.30400129190456054</v>
      </c>
      <c r="L48" s="73"/>
    </row>
    <row r="49" spans="1:12" ht="72" x14ac:dyDescent="0.25">
      <c r="A49" s="64" t="s">
        <v>12</v>
      </c>
      <c r="B49" s="65" t="s">
        <v>48</v>
      </c>
      <c r="C49" s="66">
        <v>0</v>
      </c>
      <c r="D49" s="66"/>
      <c r="E49" s="66">
        <v>0</v>
      </c>
      <c r="F49" s="66"/>
      <c r="G49" s="66">
        <v>4000.7</v>
      </c>
      <c r="H49" s="66"/>
      <c r="I49" s="66">
        <f>Post_Spijze!D23</f>
        <v>4403.3999999999996</v>
      </c>
      <c r="J49" s="66"/>
      <c r="K49" s="67">
        <f t="shared" si="14"/>
        <v>0.13366476837237934</v>
      </c>
      <c r="L49" s="68" t="s">
        <v>49</v>
      </c>
    </row>
    <row r="50" spans="1:12" x14ac:dyDescent="0.25">
      <c r="A50" s="64" t="s">
        <v>14</v>
      </c>
      <c r="B50" s="65" t="s">
        <v>50</v>
      </c>
      <c r="C50" s="66">
        <v>0</v>
      </c>
      <c r="D50" s="66"/>
      <c r="E50" s="66">
        <v>0</v>
      </c>
      <c r="F50" s="66"/>
      <c r="G50" s="66">
        <v>2999</v>
      </c>
      <c r="H50" s="66"/>
      <c r="I50" s="66">
        <v>0</v>
      </c>
      <c r="J50" s="66"/>
      <c r="K50" s="67">
        <f t="shared" si="14"/>
        <v>0</v>
      </c>
      <c r="L50" s="68" t="s">
        <v>51</v>
      </c>
    </row>
    <row r="51" spans="1:12" x14ac:dyDescent="0.25">
      <c r="A51" s="64" t="s">
        <v>16</v>
      </c>
      <c r="B51" s="65" t="s">
        <v>52</v>
      </c>
      <c r="C51" s="66">
        <v>2820</v>
      </c>
      <c r="D51" s="66"/>
      <c r="E51" s="66">
        <v>3254.47</v>
      </c>
      <c r="F51" s="66"/>
      <c r="G51" s="66">
        <v>3687.5</v>
      </c>
      <c r="H51" s="66"/>
      <c r="I51" s="66">
        <v>0</v>
      </c>
      <c r="J51" s="66"/>
      <c r="K51" s="67">
        <f t="shared" si="14"/>
        <v>0</v>
      </c>
      <c r="L51" s="68" t="s">
        <v>53</v>
      </c>
    </row>
    <row r="52" spans="1:12" ht="48" x14ac:dyDescent="0.25">
      <c r="A52" s="64" t="s">
        <v>39</v>
      </c>
      <c r="B52" s="65" t="s">
        <v>54</v>
      </c>
      <c r="C52" s="66">
        <v>0</v>
      </c>
      <c r="D52" s="66"/>
      <c r="E52" s="66">
        <v>0</v>
      </c>
      <c r="F52" s="66"/>
      <c r="G52" s="66">
        <v>0</v>
      </c>
      <c r="H52" s="66"/>
      <c r="I52" s="66">
        <f>Post_Spijze!D6</f>
        <v>5396.5</v>
      </c>
      <c r="J52" s="66"/>
      <c r="K52" s="67">
        <f t="shared" si="14"/>
        <v>0.16381021994857273</v>
      </c>
      <c r="L52" s="68" t="str">
        <f>"Dit is de prijs van ontbijt op donderdag, vrijdag en zaterdag voor €"&amp;Post_Spijze!B3 &amp;",-  de neus, lunch op donderdag en vrijdag voor €"&amp;Post_Spijze!B4 &amp;",- de neus, avondeten op donderdag en vrijdag voor €"&amp;Post_Spijze!B5 &amp;" de neus."</f>
        <v>Dit is de prijs van ontbijt op donderdag, vrijdag en zaterdag voor €3,-  de neus, lunch op donderdag en vrijdag voor €3,- de neus, avondeten op donderdag en vrijdag voor €9,25 de neus.</v>
      </c>
    </row>
    <row r="53" spans="1:12" x14ac:dyDescent="0.25">
      <c r="A53" s="64" t="s">
        <v>45</v>
      </c>
      <c r="B53" s="65" t="s">
        <v>55</v>
      </c>
      <c r="C53" s="66">
        <v>4405</v>
      </c>
      <c r="D53" s="66"/>
      <c r="E53" s="66">
        <v>4648.7700000000004</v>
      </c>
      <c r="F53" s="66"/>
      <c r="G53" s="66">
        <v>0</v>
      </c>
      <c r="H53" s="66"/>
      <c r="I53" s="66">
        <f>Post_Spijze!D30</f>
        <v>215</v>
      </c>
      <c r="J53" s="66"/>
      <c r="K53" s="67">
        <f t="shared" si="14"/>
        <v>6.5263035836084747E-3</v>
      </c>
      <c r="L53" s="68" t="s">
        <v>56</v>
      </c>
    </row>
    <row r="54" spans="1:12" x14ac:dyDescent="0.25">
      <c r="A54" s="64"/>
      <c r="C54" s="66"/>
      <c r="D54" s="66"/>
      <c r="E54" s="66"/>
      <c r="F54" s="66"/>
      <c r="G54" s="66"/>
      <c r="H54" s="66"/>
      <c r="I54" s="66"/>
      <c r="J54" s="66"/>
      <c r="K54" s="67"/>
      <c r="L54" s="68"/>
    </row>
    <row r="55" spans="1:12" x14ac:dyDescent="0.25">
      <c r="A55" s="69">
        <f>A48+1</f>
        <v>11</v>
      </c>
      <c r="B55" s="70" t="s">
        <v>57</v>
      </c>
      <c r="C55" s="71"/>
      <c r="D55" s="71">
        <f>SUM(C56:C59)</f>
        <v>700</v>
      </c>
      <c r="E55" s="71"/>
      <c r="F55" s="71">
        <f t="shared" ref="F55" si="15">SUM(E56:E59)</f>
        <v>133.61000000000001</v>
      </c>
      <c r="G55" s="71"/>
      <c r="H55" s="71">
        <f t="shared" ref="H55" si="16">SUM(G56:G59)</f>
        <v>130</v>
      </c>
      <c r="I55" s="71"/>
      <c r="J55" s="71">
        <f>SUM(I56:I60)</f>
        <v>420</v>
      </c>
      <c r="K55" s="72">
        <f t="shared" ref="K55:K60" si="17">SUM(I55:J55)/$J$88</f>
        <v>1.2749058163328183E-2</v>
      </c>
      <c r="L55" s="73"/>
    </row>
    <row r="56" spans="1:12" ht="36" x14ac:dyDescent="0.25">
      <c r="A56" s="64" t="s">
        <v>12</v>
      </c>
      <c r="B56" s="65" t="s">
        <v>58</v>
      </c>
      <c r="C56" s="66">
        <v>400</v>
      </c>
      <c r="D56" s="66"/>
      <c r="E56" s="66">
        <v>0</v>
      </c>
      <c r="F56" s="66"/>
      <c r="G56" s="66">
        <v>0</v>
      </c>
      <c r="H56" s="66"/>
      <c r="I56" s="66">
        <f>1*220</f>
        <v>220</v>
      </c>
      <c r="J56" s="66"/>
      <c r="K56" s="67">
        <f t="shared" si="17"/>
        <v>6.6780780855528578E-3</v>
      </c>
      <c r="L56" s="68" t="s">
        <v>59</v>
      </c>
    </row>
    <row r="57" spans="1:12" ht="24" x14ac:dyDescent="0.25">
      <c r="A57" s="64" t="s">
        <v>14</v>
      </c>
      <c r="B57" s="65" t="s">
        <v>60</v>
      </c>
      <c r="C57" s="66">
        <v>150</v>
      </c>
      <c r="D57" s="66"/>
      <c r="E57" s="66">
        <v>0</v>
      </c>
      <c r="F57" s="66"/>
      <c r="G57" s="66">
        <v>0</v>
      </c>
      <c r="H57" s="66"/>
      <c r="I57" s="66">
        <v>60</v>
      </c>
      <c r="J57" s="66"/>
      <c r="K57" s="67">
        <f t="shared" si="17"/>
        <v>1.8212940233325978E-3</v>
      </c>
      <c r="L57" s="68" t="s">
        <v>61</v>
      </c>
    </row>
    <row r="58" spans="1:12" ht="24" x14ac:dyDescent="0.25">
      <c r="A58" s="64" t="s">
        <v>16</v>
      </c>
      <c r="B58" s="65" t="s">
        <v>62</v>
      </c>
      <c r="C58" s="66">
        <v>50</v>
      </c>
      <c r="D58" s="66"/>
      <c r="E58" s="66">
        <v>79.900000000000006</v>
      </c>
      <c r="F58" s="66"/>
      <c r="G58" s="66">
        <v>0</v>
      </c>
      <c r="H58" s="66"/>
      <c r="I58" s="66">
        <v>0</v>
      </c>
      <c r="J58" s="66"/>
      <c r="K58" s="67">
        <f t="shared" si="17"/>
        <v>0</v>
      </c>
      <c r="L58" s="68" t="s">
        <v>63</v>
      </c>
    </row>
    <row r="59" spans="1:12" x14ac:dyDescent="0.25">
      <c r="A59" s="64" t="s">
        <v>39</v>
      </c>
      <c r="B59" s="65" t="s">
        <v>64</v>
      </c>
      <c r="C59" s="66">
        <v>100</v>
      </c>
      <c r="D59" s="66"/>
      <c r="E59" s="66">
        <v>53.71</v>
      </c>
      <c r="F59" s="66"/>
      <c r="G59" s="66">
        <v>130</v>
      </c>
      <c r="H59" s="66"/>
      <c r="I59" s="66">
        <v>70</v>
      </c>
      <c r="J59" s="66"/>
      <c r="K59" s="67">
        <f t="shared" si="17"/>
        <v>2.124843027221364E-3</v>
      </c>
      <c r="L59" s="68" t="s">
        <v>65</v>
      </c>
    </row>
    <row r="60" spans="1:12" ht="36" x14ac:dyDescent="0.25">
      <c r="A60" s="64" t="s">
        <v>45</v>
      </c>
      <c r="B60" s="65" t="s">
        <v>66</v>
      </c>
      <c r="C60" s="66">
        <v>0</v>
      </c>
      <c r="D60" s="66"/>
      <c r="E60" s="66">
        <v>0</v>
      </c>
      <c r="F60" s="66"/>
      <c r="G60" s="66">
        <v>0</v>
      </c>
      <c r="H60" s="66"/>
      <c r="I60" s="66">
        <v>70</v>
      </c>
      <c r="J60" s="66"/>
      <c r="K60" s="67">
        <f t="shared" si="17"/>
        <v>2.124843027221364E-3</v>
      </c>
      <c r="L60" s="68" t="s">
        <v>67</v>
      </c>
    </row>
    <row r="61" spans="1:12" x14ac:dyDescent="0.25">
      <c r="A61" s="96"/>
      <c r="C61" s="66"/>
      <c r="D61" s="66"/>
      <c r="E61" s="66"/>
      <c r="F61" s="66"/>
      <c r="G61" s="66"/>
      <c r="H61" s="66"/>
      <c r="I61" s="66"/>
      <c r="J61" s="66"/>
      <c r="K61" s="67"/>
      <c r="L61" s="68"/>
    </row>
    <row r="62" spans="1:12" x14ac:dyDescent="0.25">
      <c r="A62" s="69">
        <f>A55+1</f>
        <v>12</v>
      </c>
      <c r="B62" s="70" t="s">
        <v>68</v>
      </c>
      <c r="C62" s="71"/>
      <c r="D62" s="71">
        <f>SUM(C63:C65)</f>
        <v>500</v>
      </c>
      <c r="E62" s="71"/>
      <c r="F62" s="71">
        <f>SUM(E63:E65)</f>
        <v>902.29</v>
      </c>
      <c r="G62" s="71"/>
      <c r="H62" s="71">
        <f>SUM(G63:G65)</f>
        <v>536.9</v>
      </c>
      <c r="I62" s="71"/>
      <c r="J62" s="71">
        <f>SUM(I63:I65)</f>
        <v>862.80000000000007</v>
      </c>
      <c r="K62" s="72">
        <f>SUM(I62:J62)/$J$88</f>
        <v>2.6190208055522756E-2</v>
      </c>
      <c r="L62" s="73"/>
    </row>
    <row r="63" spans="1:12" x14ac:dyDescent="0.25">
      <c r="A63" s="64" t="s">
        <v>12</v>
      </c>
      <c r="B63" s="65" t="s">
        <v>69</v>
      </c>
      <c r="C63" s="66">
        <v>200</v>
      </c>
      <c r="D63" s="66"/>
      <c r="E63" s="66">
        <v>199.92</v>
      </c>
      <c r="F63" s="66"/>
      <c r="G63" s="66">
        <v>200</v>
      </c>
      <c r="H63" s="66"/>
      <c r="I63" s="66">
        <v>200.01</v>
      </c>
      <c r="J63" s="66"/>
      <c r="K63" s="67">
        <f>SUM(I63:J63)/$J$88</f>
        <v>6.0712836267792138E-3</v>
      </c>
      <c r="L63" s="68"/>
    </row>
    <row r="64" spans="1:12" ht="60" x14ac:dyDescent="0.25">
      <c r="A64" s="64" t="s">
        <v>14</v>
      </c>
      <c r="B64" s="65" t="s">
        <v>46</v>
      </c>
      <c r="C64" s="66">
        <v>250</v>
      </c>
      <c r="D64" s="66"/>
      <c r="E64" s="66">
        <v>637.37</v>
      </c>
      <c r="F64" s="66"/>
      <c r="G64" s="66">
        <v>330</v>
      </c>
      <c r="H64" s="66"/>
      <c r="I64" s="66">
        <f>Post_Organisatie!E18</f>
        <v>642.96</v>
      </c>
      <c r="J64" s="66"/>
      <c r="K64" s="67">
        <f>SUM(I64:J64)/$J$88</f>
        <v>1.9516986754032118E-2</v>
      </c>
      <c r="L64" s="68" t="str">
        <f>"Voor de reis naar elke vereniging wordt één treinkaartje (retour) begroot en laat oons leeflike Twenthe nu niet heel erg centraal liggen. Wij verwachten "&amp;Post_Organisatie!H4 &amp; " keer naar Beusink op en neer te rijden en " &amp; Post_Organisatie!H5 &amp;" keer naar Ter Huurne met een kilometervergoeding van €"&amp;Post_Organisatie!H3&amp;"."</f>
        <v>Voor de reis naar elke vereniging wordt één treinkaartje (retour) begroot en laat oons leeflike Twenthe nu niet heel erg centraal liggen. Wij verwachten 3 keer naar Beusink op en neer te rijden en 2 keer naar Ter Huurne met een kilometervergoeding van €0,23.</v>
      </c>
    </row>
    <row r="65" spans="1:12" ht="36" x14ac:dyDescent="0.25">
      <c r="A65" s="64" t="s">
        <v>16</v>
      </c>
      <c r="B65" s="65" t="s">
        <v>70</v>
      </c>
      <c r="C65" s="66">
        <v>50</v>
      </c>
      <c r="D65" s="66"/>
      <c r="E65" s="66">
        <v>65</v>
      </c>
      <c r="F65" s="66"/>
      <c r="G65" s="66">
        <v>6.9</v>
      </c>
      <c r="H65" s="66"/>
      <c r="I65" s="66">
        <v>19.829999999999998</v>
      </c>
      <c r="J65" s="66"/>
      <c r="K65" s="67">
        <f>SUM(I65:J65)/$J$88</f>
        <v>6.0193767471142354E-4</v>
      </c>
      <c r="L65" s="68" t="s">
        <v>244</v>
      </c>
    </row>
    <row r="66" spans="1:12" x14ac:dyDescent="0.25">
      <c r="A66" s="96"/>
      <c r="C66" s="66"/>
      <c r="D66" s="66"/>
      <c r="E66" s="66"/>
      <c r="F66" s="66"/>
      <c r="G66" s="66"/>
      <c r="H66" s="66"/>
      <c r="I66" s="66"/>
      <c r="J66" s="66"/>
      <c r="K66" s="67"/>
      <c r="L66" s="68"/>
    </row>
    <row r="67" spans="1:12" x14ac:dyDescent="0.25">
      <c r="A67" s="69">
        <f>A62+1</f>
        <v>13</v>
      </c>
      <c r="B67" s="70" t="s">
        <v>55</v>
      </c>
      <c r="C67" s="71"/>
      <c r="D67" s="71">
        <f>SUM(C68:C75)</f>
        <v>400</v>
      </c>
      <c r="E67" s="71"/>
      <c r="F67" s="71">
        <f>SUM(E68:E75)</f>
        <v>606.16</v>
      </c>
      <c r="G67" s="71"/>
      <c r="H67" s="71">
        <f>SUM(G68:G75)</f>
        <v>1215.3399999999999</v>
      </c>
      <c r="I67" s="71"/>
      <c r="J67" s="71">
        <f>SUM(I68:I75)</f>
        <v>1079.8599999999999</v>
      </c>
      <c r="K67" s="72">
        <f t="shared" ref="K67:K75" si="18">SUM(I67:J67)/$J$88</f>
        <v>3.2779042733932312E-2</v>
      </c>
      <c r="L67" s="73"/>
    </row>
    <row r="68" spans="1:12" ht="24" x14ac:dyDescent="0.25">
      <c r="A68" s="64" t="s">
        <v>12</v>
      </c>
      <c r="B68" s="65" t="s">
        <v>71</v>
      </c>
      <c r="C68" s="66">
        <v>100</v>
      </c>
      <c r="D68" s="66"/>
      <c r="E68" s="66">
        <v>72.48</v>
      </c>
      <c r="F68" s="66"/>
      <c r="G68" s="66">
        <v>130.53</v>
      </c>
      <c r="H68" s="66"/>
      <c r="I68" s="66">
        <v>145.05000000000001</v>
      </c>
      <c r="J68" s="66"/>
      <c r="K68" s="67">
        <f t="shared" si="18"/>
        <v>4.4029783014065552E-3</v>
      </c>
      <c r="L68" s="68" t="s">
        <v>72</v>
      </c>
    </row>
    <row r="69" spans="1:12" ht="36" x14ac:dyDescent="0.25">
      <c r="A69" s="64" t="s">
        <v>14</v>
      </c>
      <c r="B69" s="65" t="s">
        <v>73</v>
      </c>
      <c r="C69" s="66">
        <v>0</v>
      </c>
      <c r="D69" s="66"/>
      <c r="E69" s="66">
        <v>303.64999999999998</v>
      </c>
      <c r="F69" s="66"/>
      <c r="G69" s="66">
        <v>600</v>
      </c>
      <c r="H69" s="66"/>
      <c r="I69" s="66">
        <v>550</v>
      </c>
      <c r="J69" s="66"/>
      <c r="K69" s="67">
        <f t="shared" si="18"/>
        <v>1.6695195213882144E-2</v>
      </c>
      <c r="L69" s="68" t="s">
        <v>242</v>
      </c>
    </row>
    <row r="70" spans="1:12" ht="24" x14ac:dyDescent="0.25">
      <c r="A70" s="64" t="s">
        <v>16</v>
      </c>
      <c r="B70" s="65" t="s">
        <v>74</v>
      </c>
      <c r="C70" s="66">
        <v>0</v>
      </c>
      <c r="D70" s="66"/>
      <c r="E70" s="66">
        <v>0</v>
      </c>
      <c r="F70" s="66"/>
      <c r="G70" s="66">
        <v>150</v>
      </c>
      <c r="H70" s="66"/>
      <c r="I70" s="66">
        <v>200</v>
      </c>
      <c r="J70" s="66"/>
      <c r="K70" s="67">
        <f t="shared" si="18"/>
        <v>6.0709800777753254E-3</v>
      </c>
      <c r="L70" s="68" t="s">
        <v>75</v>
      </c>
    </row>
    <row r="71" spans="1:12" x14ac:dyDescent="0.25">
      <c r="A71" s="64" t="s">
        <v>39</v>
      </c>
      <c r="B71" s="65" t="s">
        <v>76</v>
      </c>
      <c r="C71" s="66">
        <v>0</v>
      </c>
      <c r="D71" s="66"/>
      <c r="E71" s="66">
        <v>0</v>
      </c>
      <c r="F71" s="66"/>
      <c r="G71" s="66">
        <v>140</v>
      </c>
      <c r="H71" s="66"/>
      <c r="I71" s="66">
        <v>0</v>
      </c>
      <c r="J71" s="66"/>
      <c r="K71" s="67">
        <f t="shared" si="18"/>
        <v>0</v>
      </c>
      <c r="L71" s="68" t="s">
        <v>77</v>
      </c>
    </row>
    <row r="72" spans="1:12" ht="24" x14ac:dyDescent="0.25">
      <c r="A72" s="64" t="s">
        <v>45</v>
      </c>
      <c r="B72" s="65" t="s">
        <v>78</v>
      </c>
      <c r="C72" s="66">
        <v>0</v>
      </c>
      <c r="D72" s="66"/>
      <c r="E72" s="66">
        <v>0</v>
      </c>
      <c r="F72" s="66"/>
      <c r="G72" s="66">
        <v>150</v>
      </c>
      <c r="H72" s="66"/>
      <c r="I72" s="66">
        <v>0</v>
      </c>
      <c r="J72" s="66"/>
      <c r="K72" s="67">
        <f t="shared" si="18"/>
        <v>0</v>
      </c>
      <c r="L72" s="68" t="s">
        <v>79</v>
      </c>
    </row>
    <row r="73" spans="1:12" ht="24" x14ac:dyDescent="0.25">
      <c r="A73" s="64" t="s">
        <v>80</v>
      </c>
      <c r="B73" s="65" t="s">
        <v>81</v>
      </c>
      <c r="C73" s="66">
        <v>0</v>
      </c>
      <c r="D73" s="66"/>
      <c r="E73" s="66">
        <v>0</v>
      </c>
      <c r="F73" s="66"/>
      <c r="G73" s="66">
        <v>44.81</v>
      </c>
      <c r="H73" s="66"/>
      <c r="I73" s="66">
        <v>44.81</v>
      </c>
      <c r="J73" s="66"/>
      <c r="K73" s="67">
        <f t="shared" si="18"/>
        <v>1.3602030864255617E-3</v>
      </c>
      <c r="L73" s="68" t="s">
        <v>82</v>
      </c>
    </row>
    <row r="74" spans="1:12" ht="24" x14ac:dyDescent="0.25">
      <c r="A74" s="64" t="s">
        <v>83</v>
      </c>
      <c r="B74" s="65" t="s">
        <v>84</v>
      </c>
      <c r="C74" s="66">
        <v>200</v>
      </c>
      <c r="D74" s="66"/>
      <c r="E74" s="66">
        <v>150.03</v>
      </c>
      <c r="F74" s="66"/>
      <c r="G74" s="66">
        <v>0</v>
      </c>
      <c r="H74" s="66"/>
      <c r="I74" s="66">
        <v>0</v>
      </c>
      <c r="J74" s="66"/>
      <c r="K74" s="67">
        <f t="shared" si="18"/>
        <v>0</v>
      </c>
      <c r="L74" s="68" t="s">
        <v>250</v>
      </c>
    </row>
    <row r="75" spans="1:12" ht="24" x14ac:dyDescent="0.25">
      <c r="A75" s="64" t="s">
        <v>85</v>
      </c>
      <c r="B75" s="65" t="s">
        <v>86</v>
      </c>
      <c r="C75" s="66">
        <v>100</v>
      </c>
      <c r="D75" s="66"/>
      <c r="E75" s="66">
        <v>80</v>
      </c>
      <c r="F75" s="66"/>
      <c r="G75" s="66">
        <v>0</v>
      </c>
      <c r="H75" s="66"/>
      <c r="I75" s="66">
        <v>140</v>
      </c>
      <c r="J75" s="66"/>
      <c r="K75" s="67">
        <f t="shared" si="18"/>
        <v>4.249686054442728E-3</v>
      </c>
      <c r="L75" s="68" t="s">
        <v>240</v>
      </c>
    </row>
    <row r="76" spans="1:12" x14ac:dyDescent="0.25">
      <c r="A76" s="64"/>
      <c r="C76" s="66"/>
      <c r="D76" s="66"/>
      <c r="E76" s="66"/>
      <c r="F76" s="66"/>
      <c r="G76" s="66"/>
      <c r="H76" s="66"/>
      <c r="I76" s="66"/>
      <c r="J76" s="66"/>
      <c r="K76" s="67"/>
      <c r="L76" s="68"/>
    </row>
    <row r="77" spans="1:12" x14ac:dyDescent="0.25">
      <c r="A77" s="69">
        <f>A67+1</f>
        <v>14</v>
      </c>
      <c r="B77" s="70" t="s">
        <v>87</v>
      </c>
      <c r="C77" s="71"/>
      <c r="D77" s="71">
        <f>SUM(C78:C79)</f>
        <v>170</v>
      </c>
      <c r="E77" s="71"/>
      <c r="F77" s="71">
        <f>SUM(E78:E79)</f>
        <v>166.89</v>
      </c>
      <c r="G77" s="71"/>
      <c r="H77" s="71">
        <f>SUM(G78:G79)</f>
        <v>210</v>
      </c>
      <c r="I77" s="71"/>
      <c r="J77" s="71">
        <f>SUM(I78:I79)</f>
        <v>130</v>
      </c>
      <c r="K77" s="72">
        <f>SUM(I77:J77)/$J$88</f>
        <v>3.9461370505539618E-3</v>
      </c>
      <c r="L77" s="73"/>
    </row>
    <row r="78" spans="1:12" ht="24" x14ac:dyDescent="0.25">
      <c r="A78" s="64" t="s">
        <v>88</v>
      </c>
      <c r="B78" s="65" t="s">
        <v>89</v>
      </c>
      <c r="C78" s="66">
        <v>120</v>
      </c>
      <c r="D78" s="66"/>
      <c r="E78" s="66">
        <v>130</v>
      </c>
      <c r="F78" s="66"/>
      <c r="G78" s="66">
        <v>130</v>
      </c>
      <c r="H78" s="66"/>
      <c r="I78" s="66">
        <f>Deelnemersvariabelen!K5*10</f>
        <v>120</v>
      </c>
      <c r="J78" s="66"/>
      <c r="K78" s="67">
        <f>SUM(I78:J78)/$J$88</f>
        <v>3.6425880466651956E-3</v>
      </c>
      <c r="L78" s="68" t="str">
        <f>Deelnemersvariabelen!K5 &amp; " commissieleden krijgen een bedankje van €10,- en de restjes van de bar."</f>
        <v>12 commissieleden krijgen een bedankje van €10,- en de restjes van de bar.</v>
      </c>
    </row>
    <row r="79" spans="1:12" x14ac:dyDescent="0.25">
      <c r="A79" s="64" t="s">
        <v>90</v>
      </c>
      <c r="B79" s="65" t="s">
        <v>91</v>
      </c>
      <c r="C79" s="66">
        <v>50</v>
      </c>
      <c r="D79" s="66"/>
      <c r="E79" s="66">
        <v>36.89</v>
      </c>
      <c r="F79" s="66"/>
      <c r="G79" s="66">
        <v>80</v>
      </c>
      <c r="H79" s="66"/>
      <c r="I79" s="66">
        <f>2*Deelnemersvariabelen!K17</f>
        <v>10</v>
      </c>
      <c r="J79" s="66"/>
      <c r="K79" s="67">
        <f>SUM(I79:J79)/$J$88</f>
        <v>3.0354900388876628E-4</v>
      </c>
      <c r="L79" s="68" t="s">
        <v>249</v>
      </c>
    </row>
    <row r="80" spans="1:12" x14ac:dyDescent="0.25">
      <c r="A80" s="96"/>
      <c r="C80" s="66"/>
      <c r="D80" s="66"/>
      <c r="E80" s="66"/>
      <c r="F80" s="66"/>
      <c r="G80" s="66"/>
      <c r="H80" s="66"/>
      <c r="I80" s="66"/>
      <c r="J80" s="66"/>
      <c r="K80" s="67"/>
      <c r="L80" s="68"/>
    </row>
    <row r="81" spans="1:12" ht="120" x14ac:dyDescent="0.25">
      <c r="A81" s="69">
        <f>A77+1</f>
        <v>15</v>
      </c>
      <c r="B81" s="70" t="s">
        <v>92</v>
      </c>
      <c r="C81" s="71"/>
      <c r="D81" s="71">
        <v>0</v>
      </c>
      <c r="E81" s="71"/>
      <c r="F81" s="71">
        <f>708.49-303.65</f>
        <v>404.84000000000003</v>
      </c>
      <c r="G81" s="71"/>
      <c r="H81" s="71">
        <v>0</v>
      </c>
      <c r="I81" s="71"/>
      <c r="J81" s="71">
        <v>400</v>
      </c>
      <c r="K81" s="72">
        <f>SUM(I81:J81)/$J$88</f>
        <v>1.2141960155550651E-2</v>
      </c>
      <c r="L81" s="73" t="s">
        <v>93</v>
      </c>
    </row>
    <row r="82" spans="1:12" x14ac:dyDescent="0.25">
      <c r="A82" s="96"/>
      <c r="C82" s="66"/>
      <c r="D82" s="66"/>
      <c r="E82" s="66"/>
      <c r="F82" s="66"/>
      <c r="G82" s="66"/>
      <c r="H82" s="66"/>
      <c r="I82" s="66"/>
      <c r="J82" s="66"/>
      <c r="K82" s="67"/>
      <c r="L82" s="68"/>
    </row>
    <row r="83" spans="1:12" x14ac:dyDescent="0.25">
      <c r="A83" s="69">
        <f>A81+1</f>
        <v>16</v>
      </c>
      <c r="B83" s="70" t="s">
        <v>94</v>
      </c>
      <c r="C83" s="71"/>
      <c r="D83" s="71">
        <v>0</v>
      </c>
      <c r="E83" s="71"/>
      <c r="F83" s="71">
        <v>762.15</v>
      </c>
      <c r="G83" s="71"/>
      <c r="H83" s="71">
        <v>762.15</v>
      </c>
      <c r="I83" s="71"/>
      <c r="J83" s="71">
        <v>762.15</v>
      </c>
      <c r="K83" s="72">
        <f>SUM(I83:J83)/$J$88</f>
        <v>2.313498733138232E-2</v>
      </c>
      <c r="L83" s="73" t="s">
        <v>95</v>
      </c>
    </row>
    <row r="84" spans="1:12" x14ac:dyDescent="0.25">
      <c r="A84" s="96"/>
      <c r="C84" s="66"/>
      <c r="D84" s="66"/>
      <c r="E84" s="66"/>
      <c r="F84" s="66"/>
      <c r="G84" s="66"/>
      <c r="H84" s="66"/>
      <c r="I84" s="66"/>
      <c r="J84" s="66"/>
      <c r="L84" s="68"/>
    </row>
    <row r="85" spans="1:12" x14ac:dyDescent="0.25">
      <c r="A85" s="69">
        <f>A83+1</f>
        <v>17</v>
      </c>
      <c r="B85" s="70" t="s">
        <v>96</v>
      </c>
      <c r="C85" s="71"/>
      <c r="D85" s="71">
        <v>0</v>
      </c>
      <c r="E85" s="71"/>
      <c r="F85" s="71">
        <v>0</v>
      </c>
      <c r="G85" s="71"/>
      <c r="H85" s="71">
        <v>0</v>
      </c>
      <c r="I85" s="71"/>
      <c r="J85" s="71">
        <v>0</v>
      </c>
      <c r="K85" s="72">
        <f t="shared" ref="K85" si="19">SUM(I85:J85)/$J$88</f>
        <v>0</v>
      </c>
      <c r="L85" s="73"/>
    </row>
    <row r="86" spans="1:12" x14ac:dyDescent="0.25">
      <c r="A86" s="96"/>
      <c r="C86" s="66"/>
      <c r="D86" s="66"/>
      <c r="E86" s="66"/>
      <c r="F86" s="66"/>
      <c r="G86" s="66"/>
      <c r="H86" s="66"/>
      <c r="I86" s="66"/>
      <c r="J86" s="66"/>
      <c r="L86" s="68"/>
    </row>
    <row r="87" spans="1:12" x14ac:dyDescent="0.25">
      <c r="A87" s="96"/>
      <c r="C87" s="66"/>
      <c r="D87" s="66"/>
      <c r="E87" s="66"/>
      <c r="F87" s="66"/>
      <c r="G87" s="66"/>
      <c r="H87" s="66"/>
      <c r="I87" s="66"/>
      <c r="J87" s="66"/>
      <c r="K87" s="67"/>
      <c r="L87" s="68"/>
    </row>
    <row r="88" spans="1:12" x14ac:dyDescent="0.25">
      <c r="A88" s="110" t="s">
        <v>33</v>
      </c>
      <c r="B88" s="111"/>
      <c r="C88" s="99"/>
      <c r="D88" s="99">
        <f>SUM(D34:D87)</f>
        <v>26565</v>
      </c>
      <c r="E88" s="99"/>
      <c r="F88" s="99">
        <f>SUM(F34:F87)</f>
        <v>27407.940000000002</v>
      </c>
      <c r="G88" s="99"/>
      <c r="H88" s="99">
        <f>SUM(H34:H87)</f>
        <v>30514.090000000004</v>
      </c>
      <c r="I88" s="99"/>
      <c r="J88" s="99">
        <f>SUM(J34:J87)</f>
        <v>32943.61</v>
      </c>
      <c r="K88" s="100">
        <f>SUM(K35,K41,K48,K55,K62,K67,K77,K81,K83,K85)</f>
        <v>0.99999999999999978</v>
      </c>
      <c r="L88" s="101"/>
    </row>
  </sheetData>
  <mergeCells count="12">
    <mergeCell ref="A88:B88"/>
    <mergeCell ref="A31:L31"/>
    <mergeCell ref="C32:D32"/>
    <mergeCell ref="E32:F32"/>
    <mergeCell ref="G32:H32"/>
    <mergeCell ref="I32:J32"/>
    <mergeCell ref="A1:L1"/>
    <mergeCell ref="C2:D2"/>
    <mergeCell ref="E2:F2"/>
    <mergeCell ref="G2:H2"/>
    <mergeCell ref="A27:B27"/>
    <mergeCell ref="I2:J2"/>
  </mergeCells>
  <conditionalFormatting sqref="J27">
    <cfRule type="cellIs" dxfId="1" priority="2" operator="notEqual">
      <formula>$J$88</formula>
    </cfRule>
  </conditionalFormatting>
  <conditionalFormatting sqref="J88">
    <cfRule type="cellIs" dxfId="0" priority="1" operator="notEqual">
      <formula>$J$27</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512C-C3FD-426D-B06A-49C8413E7410}">
  <dimension ref="A1:L17"/>
  <sheetViews>
    <sheetView workbookViewId="0">
      <selection activeCell="K9" sqref="K9"/>
    </sheetView>
  </sheetViews>
  <sheetFormatPr defaultRowHeight="15" x14ac:dyDescent="0.25"/>
  <cols>
    <col min="1" max="1" width="32.28515625" customWidth="1"/>
    <col min="2" max="2" width="16.140625" customWidth="1"/>
    <col min="3" max="4" width="14.28515625" customWidth="1"/>
    <col min="5" max="5" width="9.85546875" customWidth="1"/>
    <col min="8" max="8" width="27.85546875" customWidth="1"/>
    <col min="10" max="10" width="14.140625" customWidth="1"/>
    <col min="11" max="11" width="15.42578125" customWidth="1"/>
    <col min="12" max="12" width="49" customWidth="1"/>
  </cols>
  <sheetData>
    <row r="1" spans="1:12" x14ac:dyDescent="0.25">
      <c r="A1" s="116" t="s">
        <v>97</v>
      </c>
      <c r="B1" s="117"/>
      <c r="C1" s="117"/>
      <c r="D1" s="117"/>
      <c r="E1" s="117"/>
      <c r="F1" s="117"/>
      <c r="G1" s="117"/>
      <c r="H1" s="118"/>
      <c r="J1" s="116" t="s">
        <v>98</v>
      </c>
      <c r="K1" s="117"/>
      <c r="L1" s="118"/>
    </row>
    <row r="2" spans="1:12" x14ac:dyDescent="0.25">
      <c r="A2" s="60" t="s">
        <v>99</v>
      </c>
      <c r="B2" s="61" t="s">
        <v>42</v>
      </c>
      <c r="C2" s="61" t="s">
        <v>100</v>
      </c>
      <c r="D2" s="61" t="s">
        <v>101</v>
      </c>
      <c r="E2" s="61" t="s">
        <v>55</v>
      </c>
      <c r="F2" s="61" t="s">
        <v>33</v>
      </c>
      <c r="G2" s="61" t="s">
        <v>102</v>
      </c>
      <c r="H2" s="62" t="s">
        <v>103</v>
      </c>
      <c r="J2" s="60" t="s">
        <v>104</v>
      </c>
      <c r="K2" s="61" t="s">
        <v>105</v>
      </c>
      <c r="L2" s="62" t="s">
        <v>103</v>
      </c>
    </row>
    <row r="3" spans="1:12" x14ac:dyDescent="0.25">
      <c r="A3" s="11" t="s">
        <v>106</v>
      </c>
      <c r="B3" s="21">
        <v>0</v>
      </c>
      <c r="C3" s="21">
        <f t="shared" ref="C3:C17" si="0">$K$5</f>
        <v>12</v>
      </c>
      <c r="D3" s="21">
        <f>$K$6</f>
        <v>44</v>
      </c>
      <c r="E3" s="21">
        <v>0</v>
      </c>
      <c r="F3" s="21">
        <f>SUM(B3:E3)</f>
        <v>56</v>
      </c>
      <c r="G3" s="21">
        <f>0.5*C3+SUM(D3:E3)</f>
        <v>50</v>
      </c>
      <c r="H3" s="12"/>
      <c r="J3" s="11"/>
      <c r="K3" s="21"/>
      <c r="L3" s="12"/>
    </row>
    <row r="4" spans="1:12" x14ac:dyDescent="0.25">
      <c r="A4" s="2" t="s">
        <v>107</v>
      </c>
      <c r="B4">
        <v>0</v>
      </c>
      <c r="C4">
        <f t="shared" si="0"/>
        <v>12</v>
      </c>
      <c r="D4">
        <f t="shared" ref="D4:D17" si="1">$K$6</f>
        <v>44</v>
      </c>
      <c r="E4">
        <v>0</v>
      </c>
      <c r="F4">
        <f t="shared" ref="F4:F17" si="2">SUM(B4:E4)</f>
        <v>56</v>
      </c>
      <c r="G4">
        <f t="shared" ref="G4:G17" si="3">0.5*C4+SUM(D4:E4)</f>
        <v>50</v>
      </c>
      <c r="H4" s="4"/>
      <c r="J4" s="119" t="s">
        <v>108</v>
      </c>
      <c r="K4" s="120"/>
      <c r="L4" s="121"/>
    </row>
    <row r="5" spans="1:12" x14ac:dyDescent="0.25">
      <c r="A5" s="2" t="s">
        <v>109</v>
      </c>
      <c r="B5">
        <v>0</v>
      </c>
      <c r="C5">
        <f t="shared" si="0"/>
        <v>12</v>
      </c>
      <c r="D5">
        <f t="shared" si="1"/>
        <v>44</v>
      </c>
      <c r="E5">
        <v>0</v>
      </c>
      <c r="F5">
        <f t="shared" si="2"/>
        <v>56</v>
      </c>
      <c r="G5">
        <f t="shared" si="3"/>
        <v>50</v>
      </c>
      <c r="H5" s="4"/>
      <c r="J5" s="30" t="s">
        <v>110</v>
      </c>
      <c r="K5">
        <v>12</v>
      </c>
      <c r="L5" s="7"/>
    </row>
    <row r="6" spans="1:12" x14ac:dyDescent="0.25">
      <c r="A6" s="2" t="s">
        <v>111</v>
      </c>
      <c r="B6">
        <v>1</v>
      </c>
      <c r="C6">
        <f t="shared" si="0"/>
        <v>12</v>
      </c>
      <c r="D6">
        <f t="shared" si="1"/>
        <v>44</v>
      </c>
      <c r="E6">
        <f t="shared" ref="E6:E14" si="4">$K$7</f>
        <v>110</v>
      </c>
      <c r="F6">
        <f t="shared" si="2"/>
        <v>167</v>
      </c>
      <c r="G6">
        <f t="shared" si="3"/>
        <v>160</v>
      </c>
      <c r="H6" s="4"/>
      <c r="J6" s="2" t="s">
        <v>101</v>
      </c>
      <c r="K6">
        <f>13*3+5</f>
        <v>44</v>
      </c>
      <c r="L6" s="4" t="s">
        <v>112</v>
      </c>
    </row>
    <row r="7" spans="1:12" x14ac:dyDescent="0.25">
      <c r="A7" s="2" t="s">
        <v>113</v>
      </c>
      <c r="B7">
        <v>1</v>
      </c>
      <c r="C7">
        <f t="shared" si="0"/>
        <v>12</v>
      </c>
      <c r="D7">
        <f t="shared" si="1"/>
        <v>44</v>
      </c>
      <c r="E7">
        <f t="shared" si="4"/>
        <v>110</v>
      </c>
      <c r="F7">
        <f t="shared" si="2"/>
        <v>167</v>
      </c>
      <c r="G7">
        <f t="shared" si="3"/>
        <v>160</v>
      </c>
      <c r="H7" s="4"/>
      <c r="J7" s="2" t="s">
        <v>114</v>
      </c>
      <c r="K7">
        <v>110</v>
      </c>
      <c r="L7" s="4" t="s">
        <v>115</v>
      </c>
    </row>
    <row r="8" spans="1:12" x14ac:dyDescent="0.25">
      <c r="A8" s="2" t="s">
        <v>116</v>
      </c>
      <c r="B8">
        <v>1</v>
      </c>
      <c r="C8">
        <f t="shared" si="0"/>
        <v>12</v>
      </c>
      <c r="D8">
        <f t="shared" si="1"/>
        <v>44</v>
      </c>
      <c r="E8">
        <f t="shared" si="4"/>
        <v>110</v>
      </c>
      <c r="F8">
        <f t="shared" si="2"/>
        <v>167</v>
      </c>
      <c r="G8">
        <f t="shared" si="3"/>
        <v>160</v>
      </c>
      <c r="H8" s="4"/>
      <c r="J8" s="2" t="s">
        <v>117</v>
      </c>
      <c r="K8">
        <v>45</v>
      </c>
      <c r="L8" s="4" t="s">
        <v>118</v>
      </c>
    </row>
    <row r="9" spans="1:12" x14ac:dyDescent="0.25">
      <c r="A9" s="2" t="s">
        <v>119</v>
      </c>
      <c r="B9">
        <v>1</v>
      </c>
      <c r="C9">
        <f t="shared" si="0"/>
        <v>12</v>
      </c>
      <c r="D9">
        <f t="shared" si="1"/>
        <v>44</v>
      </c>
      <c r="E9">
        <f t="shared" si="4"/>
        <v>110</v>
      </c>
      <c r="F9">
        <f t="shared" si="2"/>
        <v>167</v>
      </c>
      <c r="G9">
        <f t="shared" si="3"/>
        <v>160</v>
      </c>
      <c r="H9" s="4"/>
      <c r="J9" s="2" t="s">
        <v>120</v>
      </c>
      <c r="K9">
        <v>90</v>
      </c>
      <c r="L9" s="4"/>
    </row>
    <row r="10" spans="1:12" x14ac:dyDescent="0.25">
      <c r="A10" s="2" t="s">
        <v>121</v>
      </c>
      <c r="B10">
        <v>1</v>
      </c>
      <c r="C10">
        <f t="shared" si="0"/>
        <v>12</v>
      </c>
      <c r="D10">
        <f t="shared" si="1"/>
        <v>44</v>
      </c>
      <c r="E10">
        <f t="shared" si="4"/>
        <v>110</v>
      </c>
      <c r="F10">
        <f t="shared" si="2"/>
        <v>167</v>
      </c>
      <c r="G10">
        <f t="shared" si="3"/>
        <v>160</v>
      </c>
      <c r="H10" s="4"/>
      <c r="J10" s="2"/>
      <c r="L10" s="4"/>
    </row>
    <row r="11" spans="1:12" x14ac:dyDescent="0.25">
      <c r="A11" s="2" t="s">
        <v>122</v>
      </c>
      <c r="B11">
        <v>1</v>
      </c>
      <c r="C11">
        <f t="shared" si="0"/>
        <v>12</v>
      </c>
      <c r="D11">
        <f t="shared" si="1"/>
        <v>44</v>
      </c>
      <c r="E11">
        <f t="shared" si="4"/>
        <v>110</v>
      </c>
      <c r="F11">
        <f t="shared" si="2"/>
        <v>167</v>
      </c>
      <c r="G11">
        <f t="shared" si="3"/>
        <v>160</v>
      </c>
      <c r="H11" s="4"/>
      <c r="J11" s="119" t="s">
        <v>123</v>
      </c>
      <c r="K11" s="120"/>
      <c r="L11" s="121"/>
    </row>
    <row r="12" spans="1:12" x14ac:dyDescent="0.25">
      <c r="A12" s="2" t="s">
        <v>124</v>
      </c>
      <c r="B12">
        <v>1</v>
      </c>
      <c r="C12">
        <f t="shared" si="0"/>
        <v>12</v>
      </c>
      <c r="D12">
        <f t="shared" si="1"/>
        <v>44</v>
      </c>
      <c r="E12">
        <f t="shared" si="4"/>
        <v>110</v>
      </c>
      <c r="F12">
        <f t="shared" si="2"/>
        <v>167</v>
      </c>
      <c r="G12">
        <f t="shared" si="3"/>
        <v>160</v>
      </c>
      <c r="H12" s="4"/>
      <c r="J12" s="2" t="s">
        <v>41</v>
      </c>
      <c r="K12">
        <v>5</v>
      </c>
      <c r="L12" s="4"/>
    </row>
    <row r="13" spans="1:12" x14ac:dyDescent="0.25">
      <c r="A13" s="2" t="s">
        <v>125</v>
      </c>
      <c r="B13">
        <v>1</v>
      </c>
      <c r="C13">
        <f t="shared" si="0"/>
        <v>12</v>
      </c>
      <c r="D13">
        <f t="shared" si="1"/>
        <v>44</v>
      </c>
      <c r="E13">
        <f t="shared" si="4"/>
        <v>110</v>
      </c>
      <c r="F13">
        <f t="shared" si="2"/>
        <v>167</v>
      </c>
      <c r="G13">
        <f t="shared" si="3"/>
        <v>160</v>
      </c>
      <c r="H13" s="4"/>
      <c r="J13" s="2" t="s">
        <v>43</v>
      </c>
      <c r="K13">
        <v>7</v>
      </c>
      <c r="L13" s="4"/>
    </row>
    <row r="14" spans="1:12" x14ac:dyDescent="0.25">
      <c r="A14" s="2" t="s">
        <v>126</v>
      </c>
      <c r="B14">
        <v>1</v>
      </c>
      <c r="C14">
        <f t="shared" si="0"/>
        <v>12</v>
      </c>
      <c r="D14">
        <f t="shared" si="1"/>
        <v>44</v>
      </c>
      <c r="E14">
        <f t="shared" si="4"/>
        <v>110</v>
      </c>
      <c r="F14">
        <f t="shared" si="2"/>
        <v>167</v>
      </c>
      <c r="G14">
        <f t="shared" si="3"/>
        <v>160</v>
      </c>
      <c r="H14" s="4"/>
      <c r="J14" s="2" t="s">
        <v>44</v>
      </c>
      <c r="K14">
        <v>1</v>
      </c>
      <c r="L14" s="4" t="s">
        <v>127</v>
      </c>
    </row>
    <row r="15" spans="1:12" x14ac:dyDescent="0.25">
      <c r="A15" s="2" t="s">
        <v>128</v>
      </c>
      <c r="B15">
        <v>1</v>
      </c>
      <c r="C15">
        <f t="shared" si="0"/>
        <v>12</v>
      </c>
      <c r="D15">
        <f t="shared" si="1"/>
        <v>44</v>
      </c>
      <c r="E15">
        <f>$K$7+$K$8</f>
        <v>155</v>
      </c>
      <c r="F15">
        <f t="shared" si="2"/>
        <v>212</v>
      </c>
      <c r="G15">
        <f t="shared" si="3"/>
        <v>205</v>
      </c>
      <c r="H15" s="4"/>
      <c r="J15" s="2"/>
      <c r="L15" s="4"/>
    </row>
    <row r="16" spans="1:12" x14ac:dyDescent="0.25">
      <c r="A16" s="2" t="s">
        <v>129</v>
      </c>
      <c r="B16">
        <v>1</v>
      </c>
      <c r="C16">
        <f t="shared" si="0"/>
        <v>12</v>
      </c>
      <c r="D16">
        <f t="shared" si="1"/>
        <v>44</v>
      </c>
      <c r="E16">
        <f>$K$7+$K$8</f>
        <v>155</v>
      </c>
      <c r="F16">
        <f t="shared" si="2"/>
        <v>212</v>
      </c>
      <c r="G16">
        <f t="shared" si="3"/>
        <v>205</v>
      </c>
      <c r="H16" s="4"/>
      <c r="J16" s="119" t="s">
        <v>130</v>
      </c>
      <c r="K16" s="120"/>
      <c r="L16" s="121"/>
    </row>
    <row r="17" spans="1:12" x14ac:dyDescent="0.25">
      <c r="A17" s="9" t="s">
        <v>131</v>
      </c>
      <c r="B17" s="24">
        <v>1</v>
      </c>
      <c r="C17" s="24">
        <f t="shared" si="0"/>
        <v>12</v>
      </c>
      <c r="D17" s="24">
        <f t="shared" si="1"/>
        <v>44</v>
      </c>
      <c r="E17" s="24">
        <f>$K$7+$K$8</f>
        <v>155</v>
      </c>
      <c r="F17" s="24">
        <f t="shared" si="2"/>
        <v>212</v>
      </c>
      <c r="G17" s="24">
        <f t="shared" si="3"/>
        <v>205</v>
      </c>
      <c r="H17" s="59"/>
      <c r="J17" s="9" t="s">
        <v>132</v>
      </c>
      <c r="K17" s="24">
        <v>5</v>
      </c>
      <c r="L17" s="59"/>
    </row>
  </sheetData>
  <mergeCells count="5">
    <mergeCell ref="A1:H1"/>
    <mergeCell ref="J1:L1"/>
    <mergeCell ref="J4:L4"/>
    <mergeCell ref="J11:L11"/>
    <mergeCell ref="J16:L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5F6D-547D-4559-9EED-22F07A524208}">
  <dimension ref="A1:K59"/>
  <sheetViews>
    <sheetView topLeftCell="A12" workbookViewId="0">
      <selection activeCell="I16" sqref="I16"/>
    </sheetView>
  </sheetViews>
  <sheetFormatPr defaultRowHeight="15" x14ac:dyDescent="0.25"/>
  <cols>
    <col min="1" max="1" width="29.7109375" customWidth="1"/>
    <col min="2" max="2" width="11.7109375" style="3" customWidth="1"/>
    <col min="3" max="3" width="14.140625" style="3" customWidth="1"/>
    <col min="4" max="4" width="12.28515625" customWidth="1"/>
    <col min="5" max="5" width="12.28515625" style="3" customWidth="1"/>
    <col min="6" max="6" width="3.7109375" style="3" customWidth="1"/>
    <col min="7" max="7" width="20.140625" customWidth="1"/>
    <col min="8" max="8" width="11.85546875" customWidth="1"/>
    <col min="9" max="9" width="11.140625" bestFit="1" customWidth="1"/>
    <col min="10" max="10" width="6.5703125" customWidth="1"/>
    <col min="11" max="11" width="9.85546875" bestFit="1" customWidth="1"/>
  </cols>
  <sheetData>
    <row r="1" spans="1:11" x14ac:dyDescent="0.25">
      <c r="A1" s="125" t="s">
        <v>133</v>
      </c>
      <c r="B1" s="126"/>
      <c r="C1" s="126"/>
      <c r="D1" s="126"/>
      <c r="E1" s="127"/>
      <c r="F1"/>
      <c r="G1" s="116" t="s">
        <v>134</v>
      </c>
      <c r="H1" s="118"/>
    </row>
    <row r="2" spans="1:11" x14ac:dyDescent="0.25">
      <c r="A2" s="47" t="s">
        <v>135</v>
      </c>
      <c r="B2" s="48" t="s">
        <v>7</v>
      </c>
      <c r="C2" s="48" t="s">
        <v>8</v>
      </c>
      <c r="D2" s="49" t="s">
        <v>102</v>
      </c>
      <c r="E2" s="57" t="s">
        <v>136</v>
      </c>
      <c r="F2"/>
      <c r="G2" s="63" t="s">
        <v>137</v>
      </c>
      <c r="H2" s="57" t="s">
        <v>138</v>
      </c>
    </row>
    <row r="3" spans="1:11" x14ac:dyDescent="0.25">
      <c r="A3" s="11"/>
      <c r="B3" s="20"/>
      <c r="C3" s="20"/>
      <c r="D3" s="21"/>
      <c r="E3" s="22"/>
      <c r="F3"/>
      <c r="G3" s="11" t="s">
        <v>139</v>
      </c>
      <c r="H3" s="22">
        <f>SUM(E12:E57)</f>
        <v>76.719999999999985</v>
      </c>
    </row>
    <row r="4" spans="1:11" x14ac:dyDescent="0.25">
      <c r="A4" s="6" t="s">
        <v>106</v>
      </c>
      <c r="B4" s="5"/>
      <c r="C4" s="5">
        <f>SUM(B5)</f>
        <v>101.68974358974359</v>
      </c>
      <c r="D4" s="1">
        <f>VLOOKUP(A4,Deelnemersvariabelen!A:H,7,FALSE)</f>
        <v>50</v>
      </c>
      <c r="E4" s="14">
        <f t="shared" ref="E4" si="0">ROUNDUP(C4/D4,2)</f>
        <v>2.0399999999999996</v>
      </c>
      <c r="F4"/>
      <c r="G4" s="2" t="s">
        <v>140</v>
      </c>
      <c r="H4" s="10">
        <f>SUM(E4:E58)</f>
        <v>90.179999999999993</v>
      </c>
    </row>
    <row r="5" spans="1:11" x14ac:dyDescent="0.25">
      <c r="A5" s="2" t="s">
        <v>141</v>
      </c>
      <c r="B5" s="3">
        <f>D4*K10</f>
        <v>101.68974358974359</v>
      </c>
      <c r="E5" s="10"/>
      <c r="F5"/>
      <c r="G5" s="9" t="s">
        <v>142</v>
      </c>
      <c r="H5" s="13">
        <f>SUM(E49:E54)</f>
        <v>17.61</v>
      </c>
    </row>
    <row r="6" spans="1:11" x14ac:dyDescent="0.25">
      <c r="A6" s="2"/>
      <c r="E6" s="10"/>
      <c r="F6"/>
    </row>
    <row r="7" spans="1:11" x14ac:dyDescent="0.25">
      <c r="A7" s="6" t="s">
        <v>107</v>
      </c>
      <c r="B7" s="5"/>
      <c r="C7" s="5">
        <f>SUM(B8:B10)</f>
        <v>570.59335804757495</v>
      </c>
      <c r="D7" s="1">
        <f>VLOOKUP(A7,Deelnemersvariabelen!A:H,7,FALSE)</f>
        <v>50</v>
      </c>
      <c r="E7" s="14">
        <f>ROUNDUP(C7/D7,2)</f>
        <v>11.42</v>
      </c>
      <c r="F7"/>
      <c r="G7" s="122" t="s">
        <v>143</v>
      </c>
      <c r="H7" s="123"/>
      <c r="I7" s="123"/>
      <c r="J7" s="123"/>
      <c r="K7" s="124"/>
    </row>
    <row r="8" spans="1:11" x14ac:dyDescent="0.25">
      <c r="A8" s="2" t="s">
        <v>144</v>
      </c>
      <c r="B8" s="3">
        <f>D7*K21</f>
        <v>300.90361445783134</v>
      </c>
      <c r="E8" s="10"/>
      <c r="F8"/>
      <c r="G8" s="47" t="s">
        <v>145</v>
      </c>
      <c r="H8" s="49" t="s">
        <v>7</v>
      </c>
      <c r="I8" s="49" t="s">
        <v>8</v>
      </c>
      <c r="J8" s="49" t="s">
        <v>146</v>
      </c>
      <c r="K8" s="15" t="s">
        <v>147</v>
      </c>
    </row>
    <row r="9" spans="1:11" x14ac:dyDescent="0.25">
      <c r="A9" s="2" t="s">
        <v>148</v>
      </c>
      <c r="B9" s="3">
        <f>H26</f>
        <v>168</v>
      </c>
      <c r="E9" s="10"/>
      <c r="F9"/>
      <c r="G9" s="11"/>
      <c r="H9" s="21"/>
      <c r="I9" s="21"/>
      <c r="J9" s="21"/>
      <c r="K9" s="12"/>
    </row>
    <row r="10" spans="1:11" x14ac:dyDescent="0.25">
      <c r="A10" s="2" t="s">
        <v>141</v>
      </c>
      <c r="B10" s="3">
        <f>D7*K10</f>
        <v>101.68974358974359</v>
      </c>
      <c r="E10" s="10"/>
      <c r="F10"/>
      <c r="G10" s="6" t="s">
        <v>141</v>
      </c>
      <c r="H10" s="1"/>
      <c r="I10" s="5">
        <f>SUM(H11:H19)</f>
        <v>3965.8999999999996</v>
      </c>
      <c r="J10" s="1">
        <f>D59</f>
        <v>1950</v>
      </c>
      <c r="K10" s="14">
        <f>I10/J10</f>
        <v>2.0337948717948717</v>
      </c>
    </row>
    <row r="11" spans="1:11" x14ac:dyDescent="0.25">
      <c r="A11" s="2"/>
      <c r="E11" s="10"/>
      <c r="F11"/>
      <c r="G11" s="2" t="s">
        <v>149</v>
      </c>
      <c r="H11" s="3">
        <f>Begroting!I53</f>
        <v>215</v>
      </c>
      <c r="K11" s="4"/>
    </row>
    <row r="12" spans="1:11" x14ac:dyDescent="0.25">
      <c r="A12" s="6" t="s">
        <v>111</v>
      </c>
      <c r="B12" s="5"/>
      <c r="C12" s="5">
        <f>SUM(B13:B14)</f>
        <v>826.40717948717952</v>
      </c>
      <c r="D12" s="1">
        <f>VLOOKUP(A12,Deelnemersvariabelen!A:H,7,FALSE)</f>
        <v>160</v>
      </c>
      <c r="E12" s="14">
        <f>ROUNDUP(C12/D12,2)</f>
        <v>5.17</v>
      </c>
      <c r="F12"/>
      <c r="G12" s="2" t="s">
        <v>150</v>
      </c>
      <c r="H12" s="3">
        <f>Begroting!I49-Begroting!J18</f>
        <v>-2286.6000000000004</v>
      </c>
      <c r="K12" s="4"/>
    </row>
    <row r="13" spans="1:11" x14ac:dyDescent="0.25">
      <c r="A13" s="2" t="s">
        <v>151</v>
      </c>
      <c r="B13" s="3">
        <f>H27</f>
        <v>501</v>
      </c>
      <c r="E13" s="10"/>
      <c r="F13"/>
      <c r="G13" s="2" t="s">
        <v>68</v>
      </c>
      <c r="H13" s="3">
        <f>Begroting!J62</f>
        <v>862.80000000000007</v>
      </c>
      <c r="K13" s="4"/>
    </row>
    <row r="14" spans="1:11" x14ac:dyDescent="0.25">
      <c r="A14" s="2" t="s">
        <v>141</v>
      </c>
      <c r="B14" s="3">
        <f>D12*K10</f>
        <v>325.40717948717946</v>
      </c>
      <c r="E14" s="10"/>
      <c r="F14"/>
      <c r="G14" s="2" t="s">
        <v>152</v>
      </c>
      <c r="H14" s="3">
        <f>Begroting!J67-SUM(Begroting!I69,Begroting!I73)</f>
        <v>485.04999999999995</v>
      </c>
      <c r="K14" s="4"/>
    </row>
    <row r="15" spans="1:11" x14ac:dyDescent="0.25">
      <c r="A15" s="2"/>
      <c r="E15" s="10"/>
      <c r="F15"/>
      <c r="G15" s="2" t="s">
        <v>87</v>
      </c>
      <c r="H15" s="3">
        <f>Begroting!J77</f>
        <v>130</v>
      </c>
      <c r="K15" s="4"/>
    </row>
    <row r="16" spans="1:11" x14ac:dyDescent="0.25">
      <c r="A16" s="6" t="s">
        <v>113</v>
      </c>
      <c r="B16" s="5"/>
      <c r="C16" s="5">
        <f>SUM(B17:B18)</f>
        <v>566.57735700197236</v>
      </c>
      <c r="D16" s="1">
        <f>VLOOKUP(A16,Deelnemersvariabelen!A:H,7,FALSE)</f>
        <v>160</v>
      </c>
      <c r="E16" s="14">
        <f>ROUNDUP(C16/D16,2)</f>
        <v>3.55</v>
      </c>
      <c r="F16"/>
      <c r="G16" s="2" t="s">
        <v>92</v>
      </c>
      <c r="H16" s="3">
        <f>Begroting!J81</f>
        <v>400</v>
      </c>
      <c r="K16" s="4"/>
    </row>
    <row r="17" spans="1:11" x14ac:dyDescent="0.25">
      <c r="A17" s="2" t="s">
        <v>153</v>
      </c>
      <c r="B17" s="3">
        <f>D16*K34</f>
        <v>241.17017751479293</v>
      </c>
      <c r="E17" s="10"/>
      <c r="F17"/>
      <c r="G17" s="2" t="s">
        <v>95</v>
      </c>
      <c r="H17" s="3">
        <f>Begroting!J83</f>
        <v>762.15</v>
      </c>
      <c r="K17" s="4"/>
    </row>
    <row r="18" spans="1:11" x14ac:dyDescent="0.25">
      <c r="A18" s="2" t="s">
        <v>141</v>
      </c>
      <c r="B18" s="3">
        <f>D16*K10</f>
        <v>325.40717948717946</v>
      </c>
      <c r="E18" s="10"/>
      <c r="F18"/>
      <c r="G18" s="2" t="s">
        <v>245</v>
      </c>
      <c r="H18" s="3">
        <f>Begroting!I36*0.5</f>
        <v>7397.5</v>
      </c>
      <c r="K18" s="4"/>
    </row>
    <row r="19" spans="1:11" x14ac:dyDescent="0.25">
      <c r="A19" s="2"/>
      <c r="E19" s="10"/>
      <c r="F19"/>
      <c r="G19" s="2" t="s">
        <v>167</v>
      </c>
      <c r="H19" s="3">
        <f>Begroting!I14*-1</f>
        <v>-4000</v>
      </c>
      <c r="K19" s="4"/>
    </row>
    <row r="20" spans="1:11" x14ac:dyDescent="0.25">
      <c r="A20" s="6" t="s">
        <v>116</v>
      </c>
      <c r="B20" s="5"/>
      <c r="C20" s="5">
        <f>SUM(B21:B22)</f>
        <v>1870.1571794871795</v>
      </c>
      <c r="D20" s="1">
        <f>VLOOKUP(A20,Deelnemersvariabelen!A:H,7,FALSE)</f>
        <v>160</v>
      </c>
      <c r="E20" s="14">
        <f t="shared" ref="E20:E54" si="1">ROUNDUP(C20/D20,2)</f>
        <v>11.69</v>
      </c>
      <c r="F20"/>
      <c r="G20" s="2"/>
      <c r="H20" s="3"/>
      <c r="K20" s="4"/>
    </row>
    <row r="21" spans="1:11" x14ac:dyDescent="0.25">
      <c r="A21" s="2" t="s">
        <v>155</v>
      </c>
      <c r="B21" s="3">
        <f>H28</f>
        <v>1544.75</v>
      </c>
      <c r="E21" s="10"/>
      <c r="F21"/>
      <c r="G21" s="6" t="s">
        <v>154</v>
      </c>
      <c r="H21" s="1"/>
      <c r="I21" s="5">
        <f>SUM(H22:H23)</f>
        <v>2497.5</v>
      </c>
      <c r="J21" s="1">
        <f>SUM(D7,D28,D54)</f>
        <v>415</v>
      </c>
      <c r="K21" s="14">
        <f>I21/J21</f>
        <v>6.0180722891566267</v>
      </c>
    </row>
    <row r="22" spans="1:11" x14ac:dyDescent="0.25">
      <c r="A22" s="2" t="s">
        <v>141</v>
      </c>
      <c r="B22" s="3">
        <f>D20*K10</f>
        <v>325.40717948717946</v>
      </c>
      <c r="E22" s="10"/>
      <c r="F22"/>
      <c r="G22" s="2" t="s">
        <v>154</v>
      </c>
      <c r="H22" s="3">
        <f>Begroting!I36*0.5</f>
        <v>7397.5</v>
      </c>
      <c r="K22" s="4"/>
    </row>
    <row r="23" spans="1:11" x14ac:dyDescent="0.25">
      <c r="A23" s="2"/>
      <c r="E23" s="10"/>
      <c r="F23"/>
      <c r="G23" s="2" t="s">
        <v>156</v>
      </c>
      <c r="H23" s="3">
        <f>Begroting!J10*-1</f>
        <v>-4900</v>
      </c>
      <c r="K23" s="4"/>
    </row>
    <row r="24" spans="1:11" x14ac:dyDescent="0.25">
      <c r="A24" s="6" t="s">
        <v>119</v>
      </c>
      <c r="B24" s="5"/>
      <c r="C24" s="5">
        <f>SUM(B25:B26)</f>
        <v>566.57735700197236</v>
      </c>
      <c r="D24" s="1">
        <f>VLOOKUP(A24,Deelnemersvariabelen!A:H,7,FALSE)</f>
        <v>160</v>
      </c>
      <c r="E24" s="14">
        <f t="shared" si="1"/>
        <v>3.55</v>
      </c>
      <c r="F24"/>
      <c r="G24" s="2"/>
      <c r="H24" s="3"/>
      <c r="K24" s="4"/>
    </row>
    <row r="25" spans="1:11" x14ac:dyDescent="0.25">
      <c r="A25" s="2" t="s">
        <v>153</v>
      </c>
      <c r="B25" s="3">
        <f>D24*K34</f>
        <v>241.17017751479293</v>
      </c>
      <c r="E25" s="10"/>
      <c r="F25"/>
      <c r="G25" s="6" t="s">
        <v>54</v>
      </c>
      <c r="H25" s="5"/>
      <c r="I25" s="5">
        <f>SUM(H26:H32)</f>
        <v>5396.5</v>
      </c>
      <c r="J25" s="1"/>
      <c r="K25" s="74"/>
    </row>
    <row r="26" spans="1:11" x14ac:dyDescent="0.25">
      <c r="A26" s="2" t="s">
        <v>141</v>
      </c>
      <c r="B26" s="3">
        <f>D24*K10</f>
        <v>325.40717948717946</v>
      </c>
      <c r="E26" s="10"/>
      <c r="F26"/>
      <c r="G26" s="2" t="s">
        <v>157</v>
      </c>
      <c r="H26" s="3">
        <f>Post_Spijze!B3*Deelnemersvariabelen!F5</f>
        <v>168</v>
      </c>
      <c r="K26" s="4"/>
    </row>
    <row r="27" spans="1:11" x14ac:dyDescent="0.25">
      <c r="A27" s="2"/>
      <c r="E27" s="10"/>
      <c r="F27"/>
      <c r="G27" s="2" t="s">
        <v>158</v>
      </c>
      <c r="H27" s="3">
        <f>Post_Spijze!B4*Deelnemersvariabelen!F6</f>
        <v>501</v>
      </c>
      <c r="K27" s="4"/>
    </row>
    <row r="28" spans="1:11" x14ac:dyDescent="0.25">
      <c r="A28" s="6" t="s">
        <v>121</v>
      </c>
      <c r="B28" s="5"/>
      <c r="C28" s="5">
        <f>SUM(B29:B31)</f>
        <v>1789.2987457522397</v>
      </c>
      <c r="D28" s="1">
        <f>VLOOKUP(A28,Deelnemersvariabelen!A:H,7,FALSE)</f>
        <v>160</v>
      </c>
      <c r="E28" s="14">
        <f t="shared" si="1"/>
        <v>11.19</v>
      </c>
      <c r="F28"/>
      <c r="G28" s="2" t="s">
        <v>159</v>
      </c>
      <c r="H28" s="3">
        <f>Post_Spijze!B5*Deelnemersvariabelen!F8</f>
        <v>1544.75</v>
      </c>
      <c r="K28" s="4"/>
    </row>
    <row r="29" spans="1:11" x14ac:dyDescent="0.25">
      <c r="A29" s="2" t="s">
        <v>154</v>
      </c>
      <c r="B29" s="3">
        <f>D28*K21</f>
        <v>962.89156626506031</v>
      </c>
      <c r="E29" s="10"/>
      <c r="F29"/>
      <c r="G29" s="2" t="s">
        <v>160</v>
      </c>
      <c r="H29" s="3">
        <f>Post_Spijze!B3*Deelnemersvariabelen!F11</f>
        <v>501</v>
      </c>
      <c r="K29" s="4"/>
    </row>
    <row r="30" spans="1:11" x14ac:dyDescent="0.25">
      <c r="A30" s="2" t="s">
        <v>163</v>
      </c>
      <c r="B30" s="3">
        <f>H29</f>
        <v>501</v>
      </c>
      <c r="E30" s="10"/>
      <c r="F30"/>
      <c r="G30" s="2" t="s">
        <v>161</v>
      </c>
      <c r="H30" s="3">
        <f>Post_Spijze!B4*Deelnemersvariabelen!F12</f>
        <v>501</v>
      </c>
      <c r="K30" s="4"/>
    </row>
    <row r="31" spans="1:11" x14ac:dyDescent="0.25">
      <c r="A31" s="2" t="s">
        <v>141</v>
      </c>
      <c r="B31" s="3">
        <f>D28*K10</f>
        <v>325.40717948717946</v>
      </c>
      <c r="E31" s="10"/>
      <c r="F31"/>
      <c r="G31" s="2" t="s">
        <v>162</v>
      </c>
      <c r="H31" s="3">
        <f>Post_Spijze!B5*Deelnemersvariabelen!F14</f>
        <v>1544.75</v>
      </c>
      <c r="K31" s="4"/>
    </row>
    <row r="32" spans="1:11" x14ac:dyDescent="0.25">
      <c r="A32" s="2"/>
      <c r="E32" s="10"/>
      <c r="F32"/>
      <c r="G32" s="2" t="s">
        <v>164</v>
      </c>
      <c r="H32" s="3">
        <f>Post_Spijze!B3*Deelnemersvariabelen!F17</f>
        <v>636</v>
      </c>
      <c r="K32" s="4"/>
    </row>
    <row r="33" spans="1:11" x14ac:dyDescent="0.25">
      <c r="A33" s="6" t="s">
        <v>122</v>
      </c>
      <c r="B33" s="5"/>
      <c r="C33" s="5">
        <f>SUM(B34:B35)</f>
        <v>566.57735700197236</v>
      </c>
      <c r="D33" s="1">
        <f>VLOOKUP(A33,Deelnemersvariabelen!A:H,7,FALSE)</f>
        <v>160</v>
      </c>
      <c r="E33" s="14">
        <f t="shared" si="1"/>
        <v>3.55</v>
      </c>
      <c r="F33"/>
      <c r="G33" s="2"/>
      <c r="H33" s="3"/>
      <c r="K33" s="4"/>
    </row>
    <row r="34" spans="1:11" x14ac:dyDescent="0.25">
      <c r="A34" s="2" t="s">
        <v>153</v>
      </c>
      <c r="B34" s="3">
        <f>D33*K34</f>
        <v>241.17017751479293</v>
      </c>
      <c r="E34" s="10"/>
      <c r="F34"/>
      <c r="G34" s="6" t="s">
        <v>165</v>
      </c>
      <c r="H34" s="1"/>
      <c r="I34" s="5">
        <f>SUM(H35:H40)</f>
        <v>1273.68</v>
      </c>
      <c r="J34" s="1">
        <f>SUM(D16,D24,D33,D41,D49)</f>
        <v>845</v>
      </c>
      <c r="K34" s="14">
        <f>I34/J34</f>
        <v>1.5073136094674557</v>
      </c>
    </row>
    <row r="35" spans="1:11" x14ac:dyDescent="0.25">
      <c r="A35" s="2" t="s">
        <v>141</v>
      </c>
      <c r="B35" s="3">
        <f>D33*K10</f>
        <v>325.40717948717946</v>
      </c>
      <c r="E35" s="10"/>
      <c r="F35"/>
      <c r="G35" s="2" t="s">
        <v>41</v>
      </c>
      <c r="H35" s="3">
        <f>Begroting!J41</f>
        <v>2778.9</v>
      </c>
      <c r="K35" s="4"/>
    </row>
    <row r="36" spans="1:11" x14ac:dyDescent="0.25">
      <c r="A36" s="2"/>
      <c r="E36" s="10"/>
      <c r="F36"/>
      <c r="G36" s="2" t="s">
        <v>166</v>
      </c>
      <c r="H36" s="3">
        <f>Begroting!I37</f>
        <v>75</v>
      </c>
      <c r="K36" s="4"/>
    </row>
    <row r="37" spans="1:11" x14ac:dyDescent="0.25">
      <c r="A37" s="6" t="s">
        <v>124</v>
      </c>
      <c r="B37" s="5"/>
      <c r="C37" s="5">
        <f>SUM(B38:B39)</f>
        <v>826.40717948717952</v>
      </c>
      <c r="D37" s="1">
        <f>VLOOKUP(A37,Deelnemersvariabelen!A:H,7,FALSE)</f>
        <v>160</v>
      </c>
      <c r="E37" s="14">
        <f t="shared" si="1"/>
        <v>5.17</v>
      </c>
      <c r="F37"/>
      <c r="G37" s="2" t="s">
        <v>57</v>
      </c>
      <c r="H37" s="3">
        <f>Begroting!J55</f>
        <v>420</v>
      </c>
      <c r="K37" s="4"/>
    </row>
    <row r="38" spans="1:11" x14ac:dyDescent="0.25">
      <c r="A38" s="2" t="s">
        <v>151</v>
      </c>
      <c r="B38" s="3">
        <f>H30</f>
        <v>501</v>
      </c>
      <c r="E38" s="10"/>
      <c r="F38"/>
      <c r="G38" s="2" t="s">
        <v>24</v>
      </c>
      <c r="H38" s="3">
        <f>Begroting!I15*-1</f>
        <v>-2000</v>
      </c>
      <c r="K38" s="4"/>
    </row>
    <row r="39" spans="1:11" x14ac:dyDescent="0.25">
      <c r="A39" s="2" t="s">
        <v>141</v>
      </c>
      <c r="B39" s="3">
        <f>D37*K10</f>
        <v>325.40717948717946</v>
      </c>
      <c r="E39" s="10"/>
      <c r="F39"/>
      <c r="G39" s="2" t="s">
        <v>25</v>
      </c>
      <c r="H39" s="3">
        <f>Begroting!I16*-1</f>
        <v>-0.22</v>
      </c>
      <c r="K39" s="4"/>
    </row>
    <row r="40" spans="1:11" x14ac:dyDescent="0.25">
      <c r="A40" s="2"/>
      <c r="E40" s="10"/>
      <c r="F40"/>
      <c r="G40" s="2"/>
      <c r="H40" s="3"/>
      <c r="K40" s="4"/>
    </row>
    <row r="41" spans="1:11" x14ac:dyDescent="0.25">
      <c r="A41" s="6" t="s">
        <v>125</v>
      </c>
      <c r="B41" s="5"/>
      <c r="C41" s="5">
        <f>SUM(B42:B43)</f>
        <v>566.57735700197236</v>
      </c>
      <c r="D41" s="1">
        <f>VLOOKUP(A41,Deelnemersvariabelen!A:H,7,FALSE)</f>
        <v>160</v>
      </c>
      <c r="E41" s="14">
        <f t="shared" si="1"/>
        <v>3.55</v>
      </c>
      <c r="F41"/>
      <c r="G41" s="6" t="s">
        <v>168</v>
      </c>
      <c r="H41" s="5"/>
      <c r="I41" s="5">
        <f>SUM(H42:H43)</f>
        <v>594.80999999999995</v>
      </c>
      <c r="J41" s="1">
        <f>D49</f>
        <v>205</v>
      </c>
      <c r="K41" s="14">
        <f>I41/J41</f>
        <v>2.9015121951219509</v>
      </c>
    </row>
    <row r="42" spans="1:11" x14ac:dyDescent="0.25">
      <c r="A42" s="2" t="s">
        <v>170</v>
      </c>
      <c r="B42" s="3">
        <f>D41*K34</f>
        <v>241.17017751479293</v>
      </c>
      <c r="E42" s="10"/>
      <c r="F42"/>
      <c r="G42" s="2" t="s">
        <v>73</v>
      </c>
      <c r="H42" s="3">
        <f>Begroting!I69</f>
        <v>550</v>
      </c>
      <c r="K42" s="4"/>
    </row>
    <row r="43" spans="1:11" x14ac:dyDescent="0.25">
      <c r="A43" s="2" t="s">
        <v>141</v>
      </c>
      <c r="B43" s="3">
        <f>D41*K10</f>
        <v>325.40717948717946</v>
      </c>
      <c r="E43" s="10"/>
      <c r="F43"/>
      <c r="G43" s="9" t="s">
        <v>169</v>
      </c>
      <c r="H43" s="23">
        <f>Begroting!I73</f>
        <v>44.81</v>
      </c>
      <c r="I43" s="24"/>
      <c r="J43" s="24"/>
      <c r="K43" s="59"/>
    </row>
    <row r="44" spans="1:11" x14ac:dyDescent="0.25">
      <c r="A44" s="2"/>
      <c r="E44" s="10"/>
      <c r="F44"/>
    </row>
    <row r="45" spans="1:11" x14ac:dyDescent="0.25">
      <c r="A45" s="6" t="s">
        <v>126</v>
      </c>
      <c r="B45" s="5"/>
      <c r="C45" s="5">
        <f>SUM(B46:B47)</f>
        <v>1870.1571794871795</v>
      </c>
      <c r="D45" s="1">
        <f>VLOOKUP(A45,Deelnemersvariabelen!A:H,7,FALSE)</f>
        <v>160</v>
      </c>
      <c r="E45" s="14">
        <f t="shared" si="1"/>
        <v>11.69</v>
      </c>
      <c r="F45"/>
    </row>
    <row r="46" spans="1:11" x14ac:dyDescent="0.25">
      <c r="A46" s="2" t="s">
        <v>155</v>
      </c>
      <c r="B46" s="3">
        <f>H31</f>
        <v>1544.75</v>
      </c>
      <c r="E46" s="10"/>
      <c r="F46"/>
    </row>
    <row r="47" spans="1:11" x14ac:dyDescent="0.25">
      <c r="A47" s="2" t="s">
        <v>141</v>
      </c>
      <c r="B47" s="3">
        <f>D45*K10</f>
        <v>325.40717948717946</v>
      </c>
      <c r="E47" s="10"/>
      <c r="F47"/>
    </row>
    <row r="48" spans="1:11" x14ac:dyDescent="0.25">
      <c r="A48" s="2"/>
      <c r="E48" s="10"/>
      <c r="F48"/>
    </row>
    <row r="49" spans="1:6" x14ac:dyDescent="0.25">
      <c r="A49" s="6" t="s">
        <v>128</v>
      </c>
      <c r="B49" s="5"/>
      <c r="C49" s="5">
        <f>SUM(B50:B52)</f>
        <v>1320.7372386587772</v>
      </c>
      <c r="D49" s="1">
        <f>VLOOKUP(A49,Deelnemersvariabelen!A:H,7,FALSE)</f>
        <v>205</v>
      </c>
      <c r="E49" s="14">
        <f t="shared" si="1"/>
        <v>6.45</v>
      </c>
      <c r="F49"/>
    </row>
    <row r="50" spans="1:6" x14ac:dyDescent="0.25">
      <c r="A50" s="2" t="s">
        <v>153</v>
      </c>
      <c r="B50" s="3">
        <f>D49*K34</f>
        <v>308.99928994082842</v>
      </c>
      <c r="E50" s="10"/>
      <c r="F50"/>
    </row>
    <row r="51" spans="1:6" x14ac:dyDescent="0.25">
      <c r="A51" s="2" t="s">
        <v>168</v>
      </c>
      <c r="B51" s="3">
        <f>D49*K41</f>
        <v>594.80999999999995</v>
      </c>
      <c r="E51" s="10"/>
      <c r="F51"/>
    </row>
    <row r="52" spans="1:6" x14ac:dyDescent="0.25">
      <c r="A52" s="2" t="s">
        <v>141</v>
      </c>
      <c r="B52" s="3">
        <f>D49*K10</f>
        <v>416.92794871794871</v>
      </c>
      <c r="E52" s="10"/>
      <c r="F52"/>
    </row>
    <row r="53" spans="1:6" x14ac:dyDescent="0.25">
      <c r="A53" s="2"/>
      <c r="E53" s="10"/>
      <c r="F53"/>
    </row>
    <row r="54" spans="1:6" x14ac:dyDescent="0.25">
      <c r="A54" s="6" t="s">
        <v>129</v>
      </c>
      <c r="B54" s="5"/>
      <c r="C54" s="5">
        <f>SUM(B55:B57)</f>
        <v>2286.6327679950573</v>
      </c>
      <c r="D54" s="1">
        <f>VLOOKUP(A54,Deelnemersvariabelen!A:H,7,FALSE)</f>
        <v>205</v>
      </c>
      <c r="E54" s="14">
        <f t="shared" si="1"/>
        <v>11.16</v>
      </c>
      <c r="F54"/>
    </row>
    <row r="55" spans="1:6" x14ac:dyDescent="0.25">
      <c r="A55" s="2" t="s">
        <v>154</v>
      </c>
      <c r="B55" s="3">
        <f>D54*K21</f>
        <v>1233.7048192771085</v>
      </c>
      <c r="E55" s="10"/>
      <c r="F55"/>
    </row>
    <row r="56" spans="1:6" x14ac:dyDescent="0.25">
      <c r="A56" s="2" t="s">
        <v>171</v>
      </c>
      <c r="B56" s="3">
        <f>H32</f>
        <v>636</v>
      </c>
      <c r="E56" s="10"/>
      <c r="F56"/>
    </row>
    <row r="57" spans="1:6" x14ac:dyDescent="0.25">
      <c r="A57" s="2" t="s">
        <v>141</v>
      </c>
      <c r="B57" s="3">
        <f>D54*K10</f>
        <v>416.92794871794871</v>
      </c>
      <c r="E57" s="10"/>
      <c r="F57"/>
    </row>
    <row r="58" spans="1:6" x14ac:dyDescent="0.25">
      <c r="A58" s="9"/>
      <c r="B58" s="23"/>
      <c r="C58" s="23"/>
      <c r="D58" s="24"/>
      <c r="E58" s="13"/>
      <c r="F58"/>
    </row>
    <row r="59" spans="1:6" x14ac:dyDescent="0.25">
      <c r="A59" s="51" t="s">
        <v>33</v>
      </c>
      <c r="B59" s="52"/>
      <c r="C59" s="52">
        <f>SUM(C3:C58)</f>
        <v>13728.39</v>
      </c>
      <c r="D59" s="53">
        <f>SUM(D4:D58)</f>
        <v>1950</v>
      </c>
      <c r="E59" s="58">
        <f>SUM(E4:E58)</f>
        <v>90.179999999999993</v>
      </c>
      <c r="F59"/>
    </row>
  </sheetData>
  <mergeCells count="3">
    <mergeCell ref="G7:K7"/>
    <mergeCell ref="A1:E1"/>
    <mergeCell ref="G1:H1"/>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590D-704C-421F-B518-6D632F0DD8BA}">
  <dimension ref="A1:F14"/>
  <sheetViews>
    <sheetView workbookViewId="0">
      <selection activeCell="F20" sqref="F20"/>
    </sheetView>
  </sheetViews>
  <sheetFormatPr defaultRowHeight="15" x14ac:dyDescent="0.25"/>
  <cols>
    <col min="1" max="1" width="26.7109375" customWidth="1"/>
    <col min="2" max="2" width="25.7109375" bestFit="1" customWidth="1"/>
    <col min="3" max="3" width="14.28515625" customWidth="1"/>
    <col min="4" max="4" width="13.28515625" customWidth="1"/>
    <col min="5" max="5" width="10.140625" bestFit="1" customWidth="1"/>
    <col min="6" max="6" width="41.5703125" customWidth="1"/>
  </cols>
  <sheetData>
    <row r="1" spans="1:6" x14ac:dyDescent="0.25">
      <c r="A1" s="128" t="s">
        <v>172</v>
      </c>
      <c r="B1" s="129"/>
      <c r="C1" s="129"/>
      <c r="D1" s="129"/>
      <c r="E1" s="129"/>
      <c r="F1" s="130"/>
    </row>
    <row r="2" spans="1:6" x14ac:dyDescent="0.25">
      <c r="A2" s="47" t="s">
        <v>173</v>
      </c>
      <c r="B2" s="49"/>
      <c r="C2" s="49"/>
      <c r="D2" s="48">
        <v>1</v>
      </c>
      <c r="E2" s="49"/>
      <c r="F2" s="15"/>
    </row>
    <row r="3" spans="1:6" x14ac:dyDescent="0.25">
      <c r="A3" s="47" t="s">
        <v>174</v>
      </c>
      <c r="B3" s="49" t="s">
        <v>175</v>
      </c>
      <c r="C3" s="49" t="s">
        <v>176</v>
      </c>
      <c r="D3" s="49" t="s">
        <v>177</v>
      </c>
      <c r="E3" s="49" t="s">
        <v>8</v>
      </c>
      <c r="F3" s="15" t="s">
        <v>10</v>
      </c>
    </row>
    <row r="4" spans="1:6" x14ac:dyDescent="0.25">
      <c r="A4" s="11" t="s">
        <v>178</v>
      </c>
      <c r="B4" s="21">
        <f>Post_Spijze!C10</f>
        <v>80</v>
      </c>
      <c r="C4" s="21">
        <f>24*B4</f>
        <v>1920</v>
      </c>
      <c r="D4" s="21">
        <v>1</v>
      </c>
      <c r="E4" s="20">
        <f>$D$2*C4*D4</f>
        <v>1920</v>
      </c>
      <c r="F4" s="12"/>
    </row>
    <row r="5" spans="1:6" x14ac:dyDescent="0.25">
      <c r="A5" s="2" t="s">
        <v>179</v>
      </c>
      <c r="B5">
        <f>Post_Spijze!C11</f>
        <v>80</v>
      </c>
      <c r="C5">
        <f>6*B5</f>
        <v>480</v>
      </c>
      <c r="D5">
        <v>2</v>
      </c>
      <c r="E5" s="3">
        <f t="shared" ref="E5:E13" si="0">$D$2*C5*D5</f>
        <v>960</v>
      </c>
      <c r="F5" s="4"/>
    </row>
    <row r="6" spans="1:6" x14ac:dyDescent="0.25">
      <c r="A6" s="2" t="s">
        <v>180</v>
      </c>
      <c r="B6">
        <f>Post_Spijze!C12</f>
        <v>40</v>
      </c>
      <c r="C6">
        <f>4*B6</f>
        <v>160</v>
      </c>
      <c r="D6">
        <v>2</v>
      </c>
      <c r="E6" s="3">
        <f t="shared" si="0"/>
        <v>320</v>
      </c>
      <c r="F6" s="4"/>
    </row>
    <row r="7" spans="1:6" x14ac:dyDescent="0.25">
      <c r="A7" s="2" t="s">
        <v>181</v>
      </c>
      <c r="B7">
        <f>Post_Spijze!C13</f>
        <v>15</v>
      </c>
      <c r="C7">
        <f>Post_BarOmzet!B7/0.075</f>
        <v>200</v>
      </c>
      <c r="D7">
        <v>2</v>
      </c>
      <c r="E7" s="3">
        <f t="shared" si="0"/>
        <v>400</v>
      </c>
      <c r="F7" s="4"/>
    </row>
    <row r="8" spans="1:6" x14ac:dyDescent="0.25">
      <c r="A8" s="2" t="s">
        <v>182</v>
      </c>
      <c r="B8">
        <f>Post_Spijze!C14</f>
        <v>20</v>
      </c>
      <c r="C8">
        <f>24*B8</f>
        <v>480</v>
      </c>
      <c r="D8">
        <v>1</v>
      </c>
      <c r="E8" s="3">
        <f t="shared" si="0"/>
        <v>480</v>
      </c>
      <c r="F8" s="4"/>
    </row>
    <row r="9" spans="1:6" x14ac:dyDescent="0.25">
      <c r="A9" s="2" t="s">
        <v>183</v>
      </c>
      <c r="B9">
        <f>Post_Spijze!C15-20</f>
        <v>180</v>
      </c>
      <c r="C9">
        <f>B9*6</f>
        <v>1080</v>
      </c>
      <c r="D9">
        <v>1</v>
      </c>
      <c r="E9" s="3">
        <f t="shared" si="0"/>
        <v>1080</v>
      </c>
      <c r="F9" s="4" t="s">
        <v>184</v>
      </c>
    </row>
    <row r="10" spans="1:6" x14ac:dyDescent="0.25">
      <c r="A10" s="2" t="s">
        <v>185</v>
      </c>
      <c r="B10">
        <f>Post_Spijze!C16</f>
        <v>100</v>
      </c>
      <c r="C10">
        <f>B10*6</f>
        <v>600</v>
      </c>
      <c r="D10">
        <v>1</v>
      </c>
      <c r="E10" s="3">
        <f t="shared" si="0"/>
        <v>600</v>
      </c>
      <c r="F10" s="4"/>
    </row>
    <row r="11" spans="1:6" x14ac:dyDescent="0.25">
      <c r="A11" s="2" t="s">
        <v>186</v>
      </c>
      <c r="B11">
        <f>Post_Spijze!C17</f>
        <v>50</v>
      </c>
      <c r="C11">
        <f>B11*6</f>
        <v>300</v>
      </c>
      <c r="D11">
        <v>1</v>
      </c>
      <c r="E11" s="3">
        <f t="shared" si="0"/>
        <v>300</v>
      </c>
      <c r="F11" s="4"/>
    </row>
    <row r="12" spans="1:6" x14ac:dyDescent="0.25">
      <c r="A12" s="2" t="s">
        <v>187</v>
      </c>
      <c r="B12">
        <f>Post_Spijze!C18</f>
        <v>30</v>
      </c>
      <c r="C12">
        <f>B12*6</f>
        <v>180</v>
      </c>
      <c r="D12">
        <v>1</v>
      </c>
      <c r="E12" s="3">
        <f t="shared" si="0"/>
        <v>180</v>
      </c>
      <c r="F12" s="4"/>
    </row>
    <row r="13" spans="1:6" x14ac:dyDescent="0.25">
      <c r="A13" s="9" t="s">
        <v>188</v>
      </c>
      <c r="B13" s="24">
        <f>Post_Spijze!C19</f>
        <v>450</v>
      </c>
      <c r="C13" s="24">
        <f>B13</f>
        <v>450</v>
      </c>
      <c r="D13" s="24">
        <v>1</v>
      </c>
      <c r="E13" s="23">
        <f t="shared" si="0"/>
        <v>450</v>
      </c>
      <c r="F13" s="59"/>
    </row>
    <row r="14" spans="1:6" x14ac:dyDescent="0.25">
      <c r="A14" s="51" t="s">
        <v>33</v>
      </c>
      <c r="B14" s="53"/>
      <c r="C14" s="53"/>
      <c r="D14" s="53"/>
      <c r="E14" s="52">
        <f>SUM(E4:E13)</f>
        <v>6690</v>
      </c>
      <c r="F14" s="86"/>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2CB1-9AEC-40E9-98AA-8E1264919F4F}">
  <dimension ref="A1:G11"/>
  <sheetViews>
    <sheetView workbookViewId="0">
      <selection activeCell="B7" sqref="B7"/>
    </sheetView>
  </sheetViews>
  <sheetFormatPr defaultRowHeight="15" x14ac:dyDescent="0.25"/>
  <cols>
    <col min="1" max="1" width="15.7109375" customWidth="1"/>
    <col min="2" max="3" width="11.85546875" customWidth="1"/>
    <col min="4" max="5" width="13" customWidth="1"/>
    <col min="6" max="6" width="10.28515625" customWidth="1"/>
    <col min="7" max="7" width="10.140625" bestFit="1" customWidth="1"/>
    <col min="8" max="8" width="8.85546875" customWidth="1"/>
    <col min="9" max="9" width="10" customWidth="1"/>
    <col min="10" max="10" width="8.5703125" customWidth="1"/>
  </cols>
  <sheetData>
    <row r="1" spans="1:7" x14ac:dyDescent="0.25">
      <c r="A1" s="131" t="s">
        <v>189</v>
      </c>
      <c r="B1" s="132"/>
      <c r="C1" s="132"/>
      <c r="D1" s="132"/>
      <c r="E1" s="132"/>
      <c r="F1" s="132"/>
      <c r="G1" s="133"/>
    </row>
    <row r="2" spans="1:7" x14ac:dyDescent="0.25">
      <c r="A2" s="78" t="s">
        <v>190</v>
      </c>
      <c r="B2" s="79" t="s">
        <v>146</v>
      </c>
      <c r="C2" s="79" t="s">
        <v>191</v>
      </c>
      <c r="D2" s="79" t="s">
        <v>192</v>
      </c>
      <c r="E2" s="80" t="s">
        <v>8</v>
      </c>
      <c r="F2" s="79" t="s">
        <v>46</v>
      </c>
      <c r="G2" s="81" t="s">
        <v>8</v>
      </c>
    </row>
    <row r="3" spans="1:7" x14ac:dyDescent="0.25">
      <c r="A3" s="18" t="s">
        <v>193</v>
      </c>
      <c r="B3" s="75"/>
      <c r="C3" s="75">
        <v>300</v>
      </c>
      <c r="D3" s="75">
        <v>30</v>
      </c>
      <c r="E3" s="76"/>
      <c r="F3" s="75">
        <f>120*0.23*2</f>
        <v>55.2</v>
      </c>
      <c r="G3" s="82"/>
    </row>
    <row r="4" spans="1:7" x14ac:dyDescent="0.25">
      <c r="A4" s="11" t="s">
        <v>194</v>
      </c>
      <c r="B4" s="21">
        <v>1</v>
      </c>
      <c r="C4" s="20">
        <v>0</v>
      </c>
      <c r="D4" s="20">
        <f>$D$3*B4</f>
        <v>30</v>
      </c>
      <c r="E4" s="28">
        <f>SUM(C4:D4)</f>
        <v>30</v>
      </c>
      <c r="F4" s="20">
        <f>$F$3*B4</f>
        <v>55.2</v>
      </c>
      <c r="G4" s="83">
        <f>SUM(E4:F4)</f>
        <v>85.2</v>
      </c>
    </row>
    <row r="5" spans="1:7" x14ac:dyDescent="0.25">
      <c r="A5" s="2" t="s">
        <v>195</v>
      </c>
      <c r="B5">
        <f>Deelnemersvariabelen!K12</f>
        <v>5</v>
      </c>
      <c r="C5" s="3">
        <f>B5*C3</f>
        <v>1500</v>
      </c>
      <c r="D5" s="3">
        <f>$D$3*B5</f>
        <v>150</v>
      </c>
      <c r="E5" s="77">
        <f>SUM(C5:D5)</f>
        <v>1650</v>
      </c>
      <c r="F5" s="3">
        <f>$F$3*B5</f>
        <v>276</v>
      </c>
      <c r="G5" s="84">
        <f t="shared" ref="G5:G7" si="0">SUM(E5:F5)</f>
        <v>1926</v>
      </c>
    </row>
    <row r="6" spans="1:7" x14ac:dyDescent="0.25">
      <c r="A6" s="2" t="s">
        <v>196</v>
      </c>
      <c r="B6">
        <f>Deelnemersvariabelen!K13</f>
        <v>7</v>
      </c>
      <c r="C6" s="3">
        <f>B6*C3*0.2</f>
        <v>420</v>
      </c>
      <c r="D6" s="3">
        <f>$D$3*B6*0.5</f>
        <v>105</v>
      </c>
      <c r="E6" s="77">
        <f>SUM(C6:D6)</f>
        <v>525</v>
      </c>
      <c r="F6" s="3">
        <f t="shared" ref="F6" si="1">$F$3*B6</f>
        <v>386.40000000000003</v>
      </c>
      <c r="G6" s="84">
        <f t="shared" si="0"/>
        <v>911.40000000000009</v>
      </c>
    </row>
    <row r="7" spans="1:7" x14ac:dyDescent="0.25">
      <c r="A7" s="9" t="s">
        <v>44</v>
      </c>
      <c r="B7" s="24">
        <f>Deelnemersvariabelen!K14</f>
        <v>1</v>
      </c>
      <c r="C7" s="23">
        <v>0</v>
      </c>
      <c r="D7" s="23">
        <f>$D$3*B7*0.5</f>
        <v>15</v>
      </c>
      <c r="E7" s="29">
        <f>SUM(C7:D7)</f>
        <v>15</v>
      </c>
      <c r="F7" s="23">
        <f>$F$3*B7*0.5</f>
        <v>27.6</v>
      </c>
      <c r="G7" s="85">
        <f t="shared" si="0"/>
        <v>42.6</v>
      </c>
    </row>
    <row r="8" spans="1:7" x14ac:dyDescent="0.25">
      <c r="A8" s="25" t="s">
        <v>33</v>
      </c>
      <c r="B8" s="26">
        <f>SUM(B5:B7)</f>
        <v>13</v>
      </c>
      <c r="C8" s="27">
        <f>SUM(C4:C7)</f>
        <v>1920</v>
      </c>
      <c r="D8" s="27">
        <f>SUM(D4:D7)</f>
        <v>300</v>
      </c>
      <c r="E8" s="27">
        <f>SUM(E4:E7)</f>
        <v>2220</v>
      </c>
      <c r="F8" s="27">
        <f>SUM(F4:F7)</f>
        <v>745.2</v>
      </c>
      <c r="G8" s="19">
        <f>SUM(G4:G7)</f>
        <v>2965.2000000000003</v>
      </c>
    </row>
    <row r="11" spans="1:7" x14ac:dyDescent="0.25">
      <c r="E11" s="3"/>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1DA3-798D-4D88-B237-ACFA58AA07E6}">
  <dimension ref="A1:E30"/>
  <sheetViews>
    <sheetView topLeftCell="A5" workbookViewId="0">
      <selection activeCell="I6" sqref="I6"/>
    </sheetView>
  </sheetViews>
  <sheetFormatPr defaultRowHeight="15" x14ac:dyDescent="0.25"/>
  <cols>
    <col min="1" max="1" width="26.28515625" customWidth="1"/>
    <col min="2" max="2" width="18" style="3" customWidth="1"/>
    <col min="4" max="4" width="12.7109375" customWidth="1"/>
    <col min="5" max="5" width="39.5703125" style="17" customWidth="1"/>
  </cols>
  <sheetData>
    <row r="1" spans="1:5" x14ac:dyDescent="0.25">
      <c r="A1" s="134" t="s">
        <v>197</v>
      </c>
      <c r="B1" s="135"/>
      <c r="C1" s="135"/>
      <c r="D1" s="135"/>
      <c r="E1" s="136"/>
    </row>
    <row r="2" spans="1:5" x14ac:dyDescent="0.25">
      <c r="A2" s="34" t="s">
        <v>155</v>
      </c>
      <c r="B2" s="45" t="s">
        <v>198</v>
      </c>
      <c r="C2" s="35" t="s">
        <v>146</v>
      </c>
      <c r="D2" s="35" t="s">
        <v>8</v>
      </c>
      <c r="E2" s="46" t="s">
        <v>10</v>
      </c>
    </row>
    <row r="3" spans="1:5" ht="30" x14ac:dyDescent="0.25">
      <c r="A3" s="41" t="s">
        <v>199</v>
      </c>
      <c r="B3" s="42">
        <v>3</v>
      </c>
      <c r="C3" s="43">
        <f>SUM(Deelnemersvariabelen!F5,Deelnemersvariabelen!F11,Deelnemersvariabelen!F17)</f>
        <v>435</v>
      </c>
      <c r="D3" s="42">
        <f>B3*C3</f>
        <v>1305</v>
      </c>
      <c r="E3" s="44" t="s">
        <v>200</v>
      </c>
    </row>
    <row r="4" spans="1:5" x14ac:dyDescent="0.25">
      <c r="A4" s="36" t="s">
        <v>151</v>
      </c>
      <c r="B4" s="32">
        <v>3</v>
      </c>
      <c r="C4" s="31">
        <f>SUM(Deelnemersvariabelen!F6,Deelnemersvariabelen!F12)</f>
        <v>334</v>
      </c>
      <c r="D4" s="32">
        <f t="shared" ref="D4:D5" si="0">B4*C4</f>
        <v>1002</v>
      </c>
      <c r="E4" s="33" t="s">
        <v>201</v>
      </c>
    </row>
    <row r="5" spans="1:5" ht="30" x14ac:dyDescent="0.25">
      <c r="A5" s="36" t="s">
        <v>202</v>
      </c>
      <c r="B5" s="32">
        <v>9.25</v>
      </c>
      <c r="C5" s="31">
        <f>Deelnemersvariabelen!F9+Deelnemersvariabelen!F14</f>
        <v>334</v>
      </c>
      <c r="D5" s="32">
        <f t="shared" si="0"/>
        <v>3089.5</v>
      </c>
      <c r="E5" s="33" t="s">
        <v>203</v>
      </c>
    </row>
    <row r="6" spans="1:5" x14ac:dyDescent="0.25">
      <c r="A6" s="37" t="s">
        <v>33</v>
      </c>
      <c r="B6" s="39"/>
      <c r="C6" s="38"/>
      <c r="D6" s="39">
        <f>SUM(D3:D5)</f>
        <v>5396.5</v>
      </c>
      <c r="E6" s="40"/>
    </row>
    <row r="8" spans="1:5" x14ac:dyDescent="0.25">
      <c r="A8" s="137" t="s">
        <v>204</v>
      </c>
      <c r="B8" s="138"/>
      <c r="C8" s="138"/>
      <c r="D8" s="138"/>
      <c r="E8" s="139"/>
    </row>
    <row r="9" spans="1:5" x14ac:dyDescent="0.25">
      <c r="A9" s="47" t="s">
        <v>205</v>
      </c>
      <c r="B9" s="48" t="s">
        <v>193</v>
      </c>
      <c r="C9" s="49" t="s">
        <v>146</v>
      </c>
      <c r="D9" s="49" t="s">
        <v>8</v>
      </c>
      <c r="E9" s="50" t="s">
        <v>10</v>
      </c>
    </row>
    <row r="10" spans="1:5" ht="45" x14ac:dyDescent="0.25">
      <c r="A10" s="11" t="s">
        <v>206</v>
      </c>
      <c r="B10" s="20">
        <v>11.99</v>
      </c>
      <c r="C10" s="21">
        <v>80</v>
      </c>
      <c r="D10" s="20">
        <f>B10*C10</f>
        <v>959.2</v>
      </c>
      <c r="E10" s="55" t="s">
        <v>207</v>
      </c>
    </row>
    <row r="11" spans="1:5" x14ac:dyDescent="0.25">
      <c r="A11" s="2" t="s">
        <v>179</v>
      </c>
      <c r="B11" s="3">
        <v>6</v>
      </c>
      <c r="C11">
        <f>4*20</f>
        <v>80</v>
      </c>
      <c r="D11" s="3">
        <f>B11*C11</f>
        <v>480</v>
      </c>
      <c r="E11" s="7"/>
    </row>
    <row r="12" spans="1:5" x14ac:dyDescent="0.25">
      <c r="A12" s="2" t="s">
        <v>180</v>
      </c>
      <c r="B12" s="3">
        <v>5</v>
      </c>
      <c r="C12">
        <v>40</v>
      </c>
      <c r="D12" s="3">
        <f>B12*C12</f>
        <v>200</v>
      </c>
      <c r="E12" s="7"/>
    </row>
    <row r="13" spans="1:5" x14ac:dyDescent="0.25">
      <c r="A13" s="2" t="s">
        <v>181</v>
      </c>
      <c r="B13" s="3">
        <v>18</v>
      </c>
      <c r="C13">
        <v>15</v>
      </c>
      <c r="D13" s="3">
        <f>B13*C13</f>
        <v>270</v>
      </c>
      <c r="E13" s="7" t="s">
        <v>208</v>
      </c>
    </row>
    <row r="14" spans="1:5" ht="45" x14ac:dyDescent="0.25">
      <c r="A14" s="2" t="s">
        <v>182</v>
      </c>
      <c r="B14" s="3">
        <f>4*3.99</f>
        <v>15.96</v>
      </c>
      <c r="C14">
        <v>20</v>
      </c>
      <c r="D14" s="3">
        <f>B14*C14</f>
        <v>319.20000000000005</v>
      </c>
      <c r="E14" s="7" t="s">
        <v>209</v>
      </c>
    </row>
    <row r="15" spans="1:5" x14ac:dyDescent="0.25">
      <c r="A15" s="2" t="s">
        <v>183</v>
      </c>
      <c r="B15" s="3">
        <v>3</v>
      </c>
      <c r="C15">
        <v>200</v>
      </c>
      <c r="D15" s="3">
        <f t="shared" ref="D15:D22" si="1">B15*C15</f>
        <v>600</v>
      </c>
      <c r="E15" s="7"/>
    </row>
    <row r="16" spans="1:5" x14ac:dyDescent="0.25">
      <c r="A16" s="2" t="s">
        <v>185</v>
      </c>
      <c r="B16" s="3">
        <v>3</v>
      </c>
      <c r="C16">
        <v>100</v>
      </c>
      <c r="D16" s="3">
        <f t="shared" si="1"/>
        <v>300</v>
      </c>
      <c r="E16" s="7"/>
    </row>
    <row r="17" spans="1:5" x14ac:dyDescent="0.25">
      <c r="A17" s="2" t="s">
        <v>186</v>
      </c>
      <c r="B17" s="3">
        <v>1.5</v>
      </c>
      <c r="C17">
        <v>50</v>
      </c>
      <c r="D17" s="3">
        <f t="shared" si="1"/>
        <v>75</v>
      </c>
      <c r="E17" s="7"/>
    </row>
    <row r="18" spans="1:5" x14ac:dyDescent="0.25">
      <c r="A18" s="2" t="s">
        <v>187</v>
      </c>
      <c r="B18" s="3">
        <v>1.5</v>
      </c>
      <c r="C18">
        <v>30</v>
      </c>
      <c r="D18" s="3">
        <f t="shared" si="1"/>
        <v>45</v>
      </c>
      <c r="E18" s="7"/>
    </row>
    <row r="19" spans="1:5" x14ac:dyDescent="0.25">
      <c r="A19" s="2" t="s">
        <v>188</v>
      </c>
      <c r="B19" s="3">
        <v>0.6</v>
      </c>
      <c r="C19">
        <v>450</v>
      </c>
      <c r="D19" s="3">
        <f t="shared" si="1"/>
        <v>270</v>
      </c>
      <c r="E19" s="7"/>
    </row>
    <row r="20" spans="1:5" x14ac:dyDescent="0.25">
      <c r="A20" s="2" t="s">
        <v>210</v>
      </c>
      <c r="B20" s="3">
        <v>9</v>
      </c>
      <c r="C20">
        <v>10</v>
      </c>
      <c r="D20" s="3">
        <f t="shared" si="1"/>
        <v>90</v>
      </c>
      <c r="E20" s="7"/>
    </row>
    <row r="21" spans="1:5" x14ac:dyDescent="0.25">
      <c r="A21" s="2" t="s">
        <v>211</v>
      </c>
      <c r="B21" s="3">
        <v>2.5</v>
      </c>
      <c r="C21">
        <v>30</v>
      </c>
      <c r="D21" s="3">
        <f t="shared" si="1"/>
        <v>75</v>
      </c>
      <c r="E21" s="7"/>
    </row>
    <row r="22" spans="1:5" x14ac:dyDescent="0.25">
      <c r="A22" s="9" t="s">
        <v>212</v>
      </c>
      <c r="B22" s="23">
        <v>60</v>
      </c>
      <c r="C22" s="24">
        <f>Deelnemersvariabelen!K5</f>
        <v>12</v>
      </c>
      <c r="D22" s="23">
        <f t="shared" si="1"/>
        <v>720</v>
      </c>
      <c r="E22" s="56"/>
    </row>
    <row r="23" spans="1:5" x14ac:dyDescent="0.25">
      <c r="A23" s="51" t="s">
        <v>33</v>
      </c>
      <c r="B23" s="52"/>
      <c r="C23" s="53"/>
      <c r="D23" s="52">
        <f>SUM(D10:D22)</f>
        <v>4403.3999999999996</v>
      </c>
      <c r="E23" s="54"/>
    </row>
    <row r="25" spans="1:5" x14ac:dyDescent="0.25">
      <c r="A25" s="140" t="s">
        <v>213</v>
      </c>
      <c r="B25" s="141"/>
      <c r="C25" s="141"/>
      <c r="D25" s="141"/>
      <c r="E25" s="142"/>
    </row>
    <row r="26" spans="1:5" x14ac:dyDescent="0.25">
      <c r="A26" s="6" t="s">
        <v>205</v>
      </c>
      <c r="B26" s="5" t="s">
        <v>193</v>
      </c>
      <c r="C26" s="1" t="s">
        <v>146</v>
      </c>
      <c r="D26" s="1" t="s">
        <v>8</v>
      </c>
      <c r="E26" s="8" t="s">
        <v>10</v>
      </c>
    </row>
    <row r="27" spans="1:5" x14ac:dyDescent="0.25">
      <c r="A27" s="11" t="s">
        <v>214</v>
      </c>
      <c r="B27" s="20">
        <v>5</v>
      </c>
      <c r="C27" s="21">
        <v>30</v>
      </c>
      <c r="D27" s="20">
        <f>B27*C27</f>
        <v>150</v>
      </c>
      <c r="E27" s="55"/>
    </row>
    <row r="28" spans="1:5" x14ac:dyDescent="0.25">
      <c r="A28" s="2" t="s">
        <v>215</v>
      </c>
      <c r="B28" s="3">
        <v>2</v>
      </c>
      <c r="C28">
        <v>10</v>
      </c>
      <c r="D28" s="3">
        <f t="shared" ref="D28" si="2">B28*C28</f>
        <v>20</v>
      </c>
      <c r="E28" s="7"/>
    </row>
    <row r="29" spans="1:5" x14ac:dyDescent="0.25">
      <c r="A29" s="9" t="s">
        <v>216</v>
      </c>
      <c r="B29" s="23">
        <v>3</v>
      </c>
      <c r="C29" s="24">
        <v>15</v>
      </c>
      <c r="D29" s="23">
        <f>B29*C29</f>
        <v>45</v>
      </c>
      <c r="E29" s="56"/>
    </row>
    <row r="30" spans="1:5" x14ac:dyDescent="0.25">
      <c r="A30" s="51" t="s">
        <v>33</v>
      </c>
      <c r="B30" s="52"/>
      <c r="C30" s="53"/>
      <c r="D30" s="52">
        <f>SUM(D27:D29)</f>
        <v>215</v>
      </c>
      <c r="E30" s="54"/>
    </row>
  </sheetData>
  <mergeCells count="3">
    <mergeCell ref="A1:E1"/>
    <mergeCell ref="A8:E8"/>
    <mergeCell ref="A25:E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BEB1-9859-4436-AE40-E571948E214F}">
  <dimension ref="A1:H18"/>
  <sheetViews>
    <sheetView tabSelected="1" workbookViewId="0">
      <selection activeCell="C16" sqref="C16"/>
    </sheetView>
  </sheetViews>
  <sheetFormatPr defaultRowHeight="15" x14ac:dyDescent="0.25"/>
  <cols>
    <col min="1" max="1" width="15.7109375" customWidth="1"/>
    <col min="2" max="2" width="15.28515625" customWidth="1"/>
    <col min="3" max="3" width="13.7109375" customWidth="1"/>
    <col min="4" max="4" width="10.28515625" style="3" customWidth="1"/>
    <col min="5" max="5" width="9.85546875" style="3" customWidth="1"/>
    <col min="7" max="7" width="18" customWidth="1"/>
    <col min="8" max="8" width="8.85546875" style="3"/>
  </cols>
  <sheetData>
    <row r="1" spans="1:8" x14ac:dyDescent="0.25">
      <c r="A1" s="143" t="s">
        <v>217</v>
      </c>
      <c r="B1" s="144"/>
      <c r="C1" s="144"/>
      <c r="D1" s="144"/>
      <c r="E1" s="145"/>
      <c r="G1" s="143" t="s">
        <v>98</v>
      </c>
      <c r="H1" s="145"/>
    </row>
    <row r="2" spans="1:8" x14ac:dyDescent="0.25">
      <c r="A2" s="47" t="s">
        <v>218</v>
      </c>
      <c r="B2" s="49" t="s">
        <v>219</v>
      </c>
      <c r="C2" s="49" t="s">
        <v>220</v>
      </c>
      <c r="D2" s="48" t="s">
        <v>221</v>
      </c>
      <c r="E2" s="57" t="s">
        <v>8</v>
      </c>
      <c r="F2" s="16"/>
      <c r="G2" s="47" t="s">
        <v>222</v>
      </c>
      <c r="H2" s="57" t="s">
        <v>7</v>
      </c>
    </row>
    <row r="3" spans="1:8" x14ac:dyDescent="0.25">
      <c r="A3" s="11" t="s">
        <v>223</v>
      </c>
      <c r="B3" s="21" t="s">
        <v>224</v>
      </c>
      <c r="C3" s="21"/>
      <c r="D3" s="20">
        <f>29.1</f>
        <v>29.1</v>
      </c>
      <c r="E3" s="22">
        <f>IF(B3="Auto",C3*$H$3,D3*2)</f>
        <v>58.2</v>
      </c>
      <c r="G3" s="11" t="s">
        <v>225</v>
      </c>
      <c r="H3" s="22">
        <v>0.23</v>
      </c>
    </row>
    <row r="4" spans="1:8" x14ac:dyDescent="0.25">
      <c r="A4" s="2" t="s">
        <v>226</v>
      </c>
      <c r="B4" t="s">
        <v>224</v>
      </c>
      <c r="D4" s="3">
        <v>29.4</v>
      </c>
      <c r="E4" s="10">
        <f t="shared" ref="E4:E17" si="0">IF(B4="Auto",C4*$H$3,D4*2)</f>
        <v>58.8</v>
      </c>
      <c r="G4" s="2" t="s">
        <v>246</v>
      </c>
      <c r="H4" s="4">
        <v>3</v>
      </c>
    </row>
    <row r="5" spans="1:8" x14ac:dyDescent="0.25">
      <c r="A5" s="2" t="s">
        <v>227</v>
      </c>
      <c r="B5" t="s">
        <v>224</v>
      </c>
      <c r="D5" s="3">
        <v>22.08</v>
      </c>
      <c r="E5" s="10">
        <f t="shared" si="0"/>
        <v>44.16</v>
      </c>
      <c r="G5" s="9" t="s">
        <v>247</v>
      </c>
      <c r="H5" s="59">
        <v>2</v>
      </c>
    </row>
    <row r="6" spans="1:8" x14ac:dyDescent="0.25">
      <c r="A6" s="2" t="s">
        <v>228</v>
      </c>
      <c r="B6" t="s">
        <v>224</v>
      </c>
      <c r="D6" s="3">
        <v>27.59</v>
      </c>
      <c r="E6" s="10">
        <f t="shared" si="0"/>
        <v>55.18</v>
      </c>
    </row>
    <row r="7" spans="1:8" x14ac:dyDescent="0.25">
      <c r="A7" s="2" t="s">
        <v>229</v>
      </c>
      <c r="B7" t="s">
        <v>224</v>
      </c>
      <c r="D7" s="3">
        <v>29.79</v>
      </c>
      <c r="E7" s="10">
        <f t="shared" si="0"/>
        <v>59.58</v>
      </c>
    </row>
    <row r="8" spans="1:8" x14ac:dyDescent="0.25">
      <c r="A8" s="2" t="s">
        <v>230</v>
      </c>
      <c r="B8" t="s">
        <v>224</v>
      </c>
      <c r="D8" s="3">
        <v>24.6</v>
      </c>
      <c r="E8" s="10">
        <f t="shared" si="0"/>
        <v>49.2</v>
      </c>
    </row>
    <row r="9" spans="1:8" x14ac:dyDescent="0.25">
      <c r="A9" s="2" t="s">
        <v>231</v>
      </c>
      <c r="B9" t="s">
        <v>224</v>
      </c>
      <c r="D9" s="3">
        <v>22.38</v>
      </c>
      <c r="E9" s="10">
        <f t="shared" si="0"/>
        <v>44.76</v>
      </c>
    </row>
    <row r="10" spans="1:8" x14ac:dyDescent="0.25">
      <c r="A10" s="2" t="s">
        <v>232</v>
      </c>
      <c r="B10" t="s">
        <v>224</v>
      </c>
      <c r="D10" s="3">
        <v>14.89</v>
      </c>
      <c r="E10" s="10">
        <f t="shared" si="0"/>
        <v>29.78</v>
      </c>
    </row>
    <row r="11" spans="1:8" x14ac:dyDescent="0.25">
      <c r="A11" s="2" t="s">
        <v>233</v>
      </c>
      <c r="B11" t="s">
        <v>224</v>
      </c>
      <c r="D11" s="3">
        <v>13.2</v>
      </c>
      <c r="E11" s="10">
        <f t="shared" si="0"/>
        <v>26.4</v>
      </c>
    </row>
    <row r="12" spans="1:8" x14ac:dyDescent="0.25">
      <c r="A12" s="2" t="s">
        <v>234</v>
      </c>
      <c r="B12" t="s">
        <v>224</v>
      </c>
      <c r="D12" s="3">
        <v>26.69</v>
      </c>
      <c r="E12" s="10">
        <f t="shared" si="0"/>
        <v>53.38</v>
      </c>
    </row>
    <row r="13" spans="1:8" x14ac:dyDescent="0.25">
      <c r="A13" s="2" t="s">
        <v>235</v>
      </c>
      <c r="B13" t="s">
        <v>224</v>
      </c>
      <c r="D13" s="3">
        <v>19.38</v>
      </c>
      <c r="E13" s="10">
        <f t="shared" si="0"/>
        <v>38.76</v>
      </c>
    </row>
    <row r="14" spans="1:8" x14ac:dyDescent="0.25">
      <c r="A14" s="2" t="s">
        <v>236</v>
      </c>
      <c r="B14" t="s">
        <v>224</v>
      </c>
      <c r="D14" s="3">
        <v>20.29</v>
      </c>
      <c r="E14" s="10">
        <f t="shared" si="0"/>
        <v>40.58</v>
      </c>
    </row>
    <row r="15" spans="1:8" x14ac:dyDescent="0.25">
      <c r="A15" s="2" t="s">
        <v>237</v>
      </c>
      <c r="B15" t="s">
        <v>238</v>
      </c>
      <c r="D15" s="3">
        <v>0</v>
      </c>
      <c r="E15" s="10">
        <f t="shared" si="0"/>
        <v>0</v>
      </c>
    </row>
    <row r="16" spans="1:8" x14ac:dyDescent="0.25">
      <c r="A16" s="2" t="str">
        <f>"Beusink (" &amp; H4 &amp; "x)"</f>
        <v>Beusink (3x)</v>
      </c>
      <c r="B16" t="s">
        <v>239</v>
      </c>
      <c r="C16">
        <f>39*H4*2</f>
        <v>234</v>
      </c>
      <c r="E16" s="10">
        <f t="shared" si="0"/>
        <v>53.82</v>
      </c>
    </row>
    <row r="17" spans="1:5" x14ac:dyDescent="0.25">
      <c r="A17" s="9" t="str">
        <f>"Beusink (" &amp; H5 &amp; "x)"</f>
        <v>Beusink (2x)</v>
      </c>
      <c r="B17" s="24" t="s">
        <v>239</v>
      </c>
      <c r="C17" s="24">
        <f>33*H5*2</f>
        <v>132</v>
      </c>
      <c r="D17" s="23"/>
      <c r="E17" s="13">
        <f t="shared" si="0"/>
        <v>30.360000000000003</v>
      </c>
    </row>
    <row r="18" spans="1:5" x14ac:dyDescent="0.25">
      <c r="A18" s="51" t="s">
        <v>33</v>
      </c>
      <c r="B18" s="53"/>
      <c r="C18" s="53"/>
      <c r="D18" s="52"/>
      <c r="E18" s="58">
        <f>SUM(E3:E17)</f>
        <v>642.96</v>
      </c>
    </row>
  </sheetData>
  <mergeCells count="2">
    <mergeCell ref="A1:E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Begroting</vt:lpstr>
      <vt:lpstr>Deelnemersvariabelen</vt:lpstr>
      <vt:lpstr>Post_Bijdrage Deelnemers_v2</vt:lpstr>
      <vt:lpstr>Post_BarOmzet</vt:lpstr>
      <vt:lpstr>Post_Sprekers</vt:lpstr>
      <vt:lpstr>Post_Spijze</vt:lpstr>
      <vt:lpstr>Post_Organisatie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Jeroen van Wolfswinkel</cp:lastModifiedBy>
  <cp:revision/>
  <dcterms:created xsi:type="dcterms:W3CDTF">2024-10-08T20:02:26Z</dcterms:created>
  <dcterms:modified xsi:type="dcterms:W3CDTF">2025-02-26T09:41:57Z</dcterms:modified>
  <cp:category/>
  <cp:contentStatus/>
</cp:coreProperties>
</file>